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drawings/drawing8.xml" ContentType="application/vnd.openxmlformats-officedocument.drawing+xml"/>
  <Override PartName="/xl/comments11.xml" ContentType="application/vnd.openxmlformats-officedocument.spreadsheetml.comments+xml"/>
  <Override PartName="/xl/drawings/drawing9.xml" ContentType="application/vnd.openxmlformats-officedocument.drawing+xml"/>
  <Override PartName="/xl/comments12.xml" ContentType="application/vnd.openxmlformats-officedocument.spreadsheetml.comments+xml"/>
  <Override PartName="/xl/drawings/drawing10.xml" ContentType="application/vnd.openxmlformats-officedocument.drawing+xml"/>
  <Override PartName="/xl/comments13.xml" ContentType="application/vnd.openxmlformats-officedocument.spreadsheetml.comments+xml"/>
  <Override PartName="/xl/drawings/drawing11.xml" ContentType="application/vnd.openxmlformats-officedocument.drawing+xml"/>
  <Override PartName="/xl/comments14.xml" ContentType="application/vnd.openxmlformats-officedocument.spreadsheetml.comments+xml"/>
  <Override PartName="/xl/drawings/drawing12.xml" ContentType="application/vnd.openxmlformats-officedocument.drawing+xml"/>
  <Override PartName="/xl/comments15.xml" ContentType="application/vnd.openxmlformats-officedocument.spreadsheetml.comments+xml"/>
  <Override PartName="/xl/drawings/drawing13.xml" ContentType="application/vnd.openxmlformats-officedocument.drawing+xml"/>
  <Override PartName="/xl/comments16.xml" ContentType="application/vnd.openxmlformats-officedocument.spreadsheetml.comments+xml"/>
  <Override PartName="/xl/drawings/drawing14.xml" ContentType="application/vnd.openxmlformats-officedocument.drawing+xml"/>
  <Override PartName="/xl/comments17.xml" ContentType="application/vnd.openxmlformats-officedocument.spreadsheetml.comments+xml"/>
  <Override PartName="/xl/drawings/drawing15.xml" ContentType="application/vnd.openxmlformats-officedocument.drawing+xml"/>
  <Override PartName="/xl/comments18.xml" ContentType="application/vnd.openxmlformats-officedocument.spreadsheetml.comments+xml"/>
  <Override PartName="/xl/drawings/drawing16.xml" ContentType="application/vnd.openxmlformats-officedocument.drawing+xml"/>
  <Override PartName="/xl/comments19.xml" ContentType="application/vnd.openxmlformats-officedocument.spreadsheetml.comments+xml"/>
  <Override PartName="/xl/drawings/drawing17.xml" ContentType="application/vnd.openxmlformats-officedocument.drawing+xml"/>
  <Override PartName="/xl/comments20.xml" ContentType="application/vnd.openxmlformats-officedocument.spreadsheetml.comments+xml"/>
  <Override PartName="/xl/drawings/drawing18.xml" ContentType="application/vnd.openxmlformats-officedocument.drawing+xml"/>
  <Override PartName="/xl/comments21.xml" ContentType="application/vnd.openxmlformats-officedocument.spreadsheetml.comments+xml"/>
  <Override PartName="/xl/drawings/drawing19.xml" ContentType="application/vnd.openxmlformats-officedocument.drawing+xml"/>
  <Override PartName="/xl/comments22.xml" ContentType="application/vnd.openxmlformats-officedocument.spreadsheetml.comments+xml"/>
  <Override PartName="/xl/drawings/drawing20.xml" ContentType="application/vnd.openxmlformats-officedocument.drawing+xml"/>
  <Override PartName="/xl/comments23.xml" ContentType="application/vnd.openxmlformats-officedocument.spreadsheetml.comments+xml"/>
  <Override PartName="/xl/drawings/drawing21.xml" ContentType="application/vnd.openxmlformats-officedocument.drawing+xml"/>
  <Override PartName="/xl/comments24.xml" ContentType="application/vnd.openxmlformats-officedocument.spreadsheetml.comments+xml"/>
  <Override PartName="/xl/drawings/drawing22.xml" ContentType="application/vnd.openxmlformats-officedocument.drawing+xml"/>
  <Override PartName="/xl/comments25.xml" ContentType="application/vnd.openxmlformats-officedocument.spreadsheetml.comments+xml"/>
  <Override PartName="/xl/drawings/drawing23.xml" ContentType="application/vnd.openxmlformats-officedocument.drawing+xml"/>
  <Override PartName="/xl/comments26.xml" ContentType="application/vnd.openxmlformats-officedocument.spreadsheetml.comments+xml"/>
  <Override PartName="/xl/drawings/drawing24.xml" ContentType="application/vnd.openxmlformats-officedocument.drawing+xml"/>
  <Override PartName="/xl/comments27.xml" ContentType="application/vnd.openxmlformats-officedocument.spreadsheetml.comments+xml"/>
  <Override PartName="/xl/drawings/drawing25.xml" ContentType="application/vnd.openxmlformats-officedocument.drawing+xml"/>
  <Override PartName="/xl/comments28.xml" ContentType="application/vnd.openxmlformats-officedocument.spreadsheetml.comments+xml"/>
  <Override PartName="/xl/drawings/drawing26.xml" ContentType="application/vnd.openxmlformats-officedocument.drawing+xml"/>
  <Override PartName="/xl/comments29.xml" ContentType="application/vnd.openxmlformats-officedocument.spreadsheetml.comments+xml"/>
  <Override PartName="/xl/drawings/drawing27.xml" ContentType="application/vnd.openxmlformats-officedocument.drawing+xml"/>
  <Override PartName="/xl/comments30.xml" ContentType="application/vnd.openxmlformats-officedocument.spreadsheetml.comments+xml"/>
  <Override PartName="/xl/drawings/drawing28.xml" ContentType="application/vnd.openxmlformats-officedocument.drawing+xml"/>
  <Override PartName="/xl/comments31.xml" ContentType="application/vnd.openxmlformats-officedocument.spreadsheetml.comments+xml"/>
  <Override PartName="/xl/drawings/drawing29.xml" ContentType="application/vnd.openxmlformats-officedocument.drawing+xml"/>
  <Override PartName="/xl/comments32.xml" ContentType="application/vnd.openxmlformats-officedocument.spreadsheetml.comments+xml"/>
  <Override PartName="/xl/drawings/drawing30.xml" ContentType="application/vnd.openxmlformats-officedocument.drawing+xml"/>
  <Override PartName="/xl/comments33.xml" ContentType="application/vnd.openxmlformats-officedocument.spreadsheetml.comments+xml"/>
  <Override PartName="/xl/drawings/drawing31.xml" ContentType="application/vnd.openxmlformats-officedocument.drawing+xml"/>
  <Override PartName="/xl/comments34.xml" ContentType="application/vnd.openxmlformats-officedocument.spreadsheetml.comments+xml"/>
  <Override PartName="/xl/threadedComments/threadedComment2.xml" ContentType="application/vnd.ms-excel.threadedcomments+xml"/>
  <Override PartName="/xl/drawings/drawing32.xml" ContentType="application/vnd.openxmlformats-officedocument.drawing+xml"/>
  <Override PartName="/xl/comments35.xml" ContentType="application/vnd.openxmlformats-officedocument.spreadsheetml.comments+xml"/>
  <Override PartName="/xl/threadedComments/threadedComment3.xml" ContentType="application/vnd.ms-excel.threadedcomments+xml"/>
  <Override PartName="/xl/drawings/drawing33.xml" ContentType="application/vnd.openxmlformats-officedocument.drawing+xml"/>
  <Override PartName="/xl/comments36.xml" ContentType="application/vnd.openxmlformats-officedocument.spreadsheetml.comments+xml"/>
  <Override PartName="/xl/threadedComments/threadedComment4.xml" ContentType="application/vnd.ms-excel.threadedcomments+xml"/>
  <Override PartName="/xl/drawings/drawing34.xml" ContentType="application/vnd.openxmlformats-officedocument.drawing+xml"/>
  <Override PartName="/xl/comments37.xml" ContentType="application/vnd.openxmlformats-officedocument.spreadsheetml.comments+xml"/>
  <Override PartName="/xl/threadedComments/threadedComment5.xml" ContentType="application/vnd.ms-excel.threadedcomments+xml"/>
  <Override PartName="/xl/drawings/drawing35.xml" ContentType="application/vnd.openxmlformats-officedocument.drawing+xml"/>
  <Override PartName="/xl/comments38.xml" ContentType="application/vnd.openxmlformats-officedocument.spreadsheetml.comments+xml"/>
  <Override PartName="/xl/threadedComments/threadedComment6.xml" ContentType="application/vnd.ms-excel.threadedcomments+xml"/>
  <Override PartName="/xl/drawings/drawing36.xml" ContentType="application/vnd.openxmlformats-officedocument.drawing+xml"/>
  <Override PartName="/xl/comments39.xml" ContentType="application/vnd.openxmlformats-officedocument.spreadsheetml.comments+xml"/>
  <Override PartName="/xl/threadedComments/threadedComment7.xml" ContentType="application/vnd.ms-excel.threadedcomments+xml"/>
  <Override PartName="/xl/comments40.xml" ContentType="application/vnd.openxmlformats-officedocument.spreadsheetml.comments+xml"/>
  <Override PartName="/xl/threadedComments/threadedComment8.xml" ContentType="application/vnd.ms-excel.threadedcomments+xml"/>
  <Override PartName="/xl/drawings/drawing37.xml" ContentType="application/vnd.openxmlformats-officedocument.drawing+xml"/>
  <Override PartName="/xl/comments41.xml" ContentType="application/vnd.openxmlformats-officedocument.spreadsheetml.comments+xml"/>
  <Override PartName="/xl/threadedComments/threadedComment9.xml" ContentType="application/vnd.ms-excel.threadedcomments+xml"/>
  <Override PartName="/xl/drawings/drawing38.xml" ContentType="application/vnd.openxmlformats-officedocument.drawing+xml"/>
  <Override PartName="/xl/comments42.xml" ContentType="application/vnd.openxmlformats-officedocument.spreadsheetml.comments+xml"/>
  <Override PartName="/xl/threadedComments/threadedComment10.xml" ContentType="application/vnd.ms-excel.threadedcomments+xml"/>
  <Override PartName="/xl/drawings/drawing39.xml" ContentType="application/vnd.openxmlformats-officedocument.drawing+xml"/>
  <Override PartName="/xl/comments4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a7340de948ad21/Dokumente/01_Bruno_25/03 CH CUP 25/04 1_4_Final/01_1_4_Final_1_4_25/"/>
    </mc:Choice>
  </mc:AlternateContent>
  <xr:revisionPtr revIDLastSave="0" documentId="8_{D5FD1568-3353-4377-9300-387217CB067C}" xr6:coauthVersionLast="47" xr6:coauthVersionMax="47" xr10:uidLastSave="{00000000-0000-0000-0000-000000000000}"/>
  <bookViews>
    <workbookView xWindow="920" yWindow="480" windowWidth="22150" windowHeight="21000" tabRatio="701" firstSheet="1" activeTab="4" xr2:uid="{92F2765D-0CE3-4D1B-8D64-39C320AE4DF6}"/>
  </bookViews>
  <sheets>
    <sheet name="Adressen Daten 25" sheetId="12" r:id="rId1"/>
    <sheet name="Schiri_25" sheetId="3" r:id="rId2"/>
    <sheet name="Sieger Vorrunde" sheetId="86" state="hidden" r:id="rId3"/>
    <sheet name="2022_Adressen " sheetId="92" state="hidden" r:id="rId4"/>
    <sheet name="CH Cup Tableau 2025" sheetId="87" r:id="rId5"/>
    <sheet name="Aus_Losung" sheetId="88" state="hidden" r:id="rId6"/>
    <sheet name="Leer" sheetId="82" state="hidden" r:id="rId7"/>
    <sheet name="CH Cup Tableau 2021 (2)" sheetId="181" state="hidden" r:id="rId8"/>
    <sheet name="Eigaben" sheetId="15" r:id="rId9"/>
    <sheet name="Tabelle1" sheetId="193" state="hidden" r:id="rId10"/>
    <sheet name="zusammenfassung_25" sheetId="195" r:id="rId11"/>
    <sheet name="Aufgebot A" sheetId="19" state="hidden" r:id="rId12"/>
    <sheet name="Tabelle2" sheetId="194" state="hidden" r:id="rId13"/>
    <sheet name="Spielbericht A" sheetId="17" state="hidden" r:id="rId14"/>
    <sheet name="Aufgebot B" sheetId="182" state="hidden" r:id="rId15"/>
    <sheet name="Spielbericht B" sheetId="183" state="hidden" r:id="rId16"/>
    <sheet name="Aufgebot C" sheetId="184" state="hidden" r:id="rId17"/>
    <sheet name="Spielbericht C" sheetId="185" state="hidden" r:id="rId18"/>
    <sheet name="Aufgebot D" sheetId="186" state="hidden" r:id="rId19"/>
    <sheet name="Spielbericht D" sheetId="187" state="hidden" r:id="rId20"/>
    <sheet name="Aufgebot E" sheetId="190" state="hidden" r:id="rId21"/>
    <sheet name="Spielbericht E" sheetId="191" state="hidden" r:id="rId22"/>
    <sheet name="Aufgebot F" sheetId="188" state="hidden" r:id="rId23"/>
    <sheet name="Spielbericht F" sheetId="189" state="hidden" r:id="rId24"/>
    <sheet name="Aufgebot 1" sheetId="90" state="hidden" r:id="rId25"/>
    <sheet name="Spielbericht 1" sheetId="91" state="hidden" r:id="rId26"/>
    <sheet name="Aufgebot 2" sheetId="112" state="hidden" r:id="rId27"/>
    <sheet name="Spielbericht 2" sheetId="113" state="hidden" r:id="rId28"/>
    <sheet name="Aufgebot 3" sheetId="114" state="hidden" r:id="rId29"/>
    <sheet name="Spielbericht 3" sheetId="115" state="hidden" r:id="rId30"/>
    <sheet name="Aufgebot 4" sheetId="116" state="hidden" r:id="rId31"/>
    <sheet name="Spielbericht 4" sheetId="117" state="hidden" r:id="rId32"/>
    <sheet name="Aufgebot 5" sheetId="118" state="hidden" r:id="rId33"/>
    <sheet name="Spielbericht 5" sheetId="119" state="hidden" r:id="rId34"/>
    <sheet name="Aufgebot 6" sheetId="120" state="hidden" r:id="rId35"/>
    <sheet name="Spielbericht 6" sheetId="121" state="hidden" r:id="rId36"/>
    <sheet name="Aufgebot 7" sheetId="122" state="hidden" r:id="rId37"/>
    <sheet name="Spielbericht 7" sheetId="123" state="hidden" r:id="rId38"/>
    <sheet name="Aufgebot 8" sheetId="124" state="hidden" r:id="rId39"/>
    <sheet name="Spielbericht 8" sheetId="125" state="hidden" r:id="rId40"/>
    <sheet name="Aufgebot 9" sheetId="126" state="hidden" r:id="rId41"/>
    <sheet name="Spielbericht 9" sheetId="127" state="hidden" r:id="rId42"/>
    <sheet name="Aufgebot 10" sheetId="128" state="hidden" r:id="rId43"/>
    <sheet name="Spielbericht 10" sheetId="129" state="hidden" r:id="rId44"/>
    <sheet name="Aufgebot 11" sheetId="130" state="hidden" r:id="rId45"/>
    <sheet name="Spielbericht 11" sheetId="131" state="hidden" r:id="rId46"/>
    <sheet name="Aufgebot 12" sheetId="132" state="hidden" r:id="rId47"/>
    <sheet name="Spielbericht 12" sheetId="133" state="hidden" r:id="rId48"/>
    <sheet name="Aufgebot 13" sheetId="134" state="hidden" r:id="rId49"/>
    <sheet name="Spielbericht 13" sheetId="135" state="hidden" r:id="rId50"/>
    <sheet name="Aufgebot 14" sheetId="136" state="hidden" r:id="rId51"/>
    <sheet name="Spielbericht 14" sheetId="137" state="hidden" r:id="rId52"/>
    <sheet name="Aufgebot 15" sheetId="138" state="hidden" r:id="rId53"/>
    <sheet name="Spielbericht 15" sheetId="139" state="hidden" r:id="rId54"/>
    <sheet name="Aufgebot 16" sheetId="140" state="hidden" r:id="rId55"/>
    <sheet name="Spielbericht 16" sheetId="141" state="hidden" r:id="rId56"/>
    <sheet name="Aufgebot 17" sheetId="145" state="hidden" r:id="rId57"/>
    <sheet name="Spielbericht 17" sheetId="146" state="hidden" r:id="rId58"/>
    <sheet name="Aufgebot 18" sheetId="148" state="hidden" r:id="rId59"/>
    <sheet name="Spielbericht 18" sheetId="149" state="hidden" r:id="rId60"/>
    <sheet name="Aufgebot 19" sheetId="150" state="hidden" r:id="rId61"/>
    <sheet name="Spielbericht 19" sheetId="151" state="hidden" r:id="rId62"/>
    <sheet name="Aufgebot 20" sheetId="152" state="hidden" r:id="rId63"/>
    <sheet name="Spielbericht 20" sheetId="157" state="hidden" r:id="rId64"/>
    <sheet name="Aufgebot 21" sheetId="154" state="hidden" r:id="rId65"/>
    <sheet name="Spielbericht 21" sheetId="153" state="hidden" r:id="rId66"/>
    <sheet name="Aufgebot 22" sheetId="155" state="hidden" r:id="rId67"/>
    <sheet name="Spielbericht 22" sheetId="156" state="hidden" r:id="rId68"/>
    <sheet name="Aufgebot 23" sheetId="158" state="hidden" r:id="rId69"/>
    <sheet name="Spielbericht 23" sheetId="159" state="hidden" r:id="rId70"/>
    <sheet name="Aufgebot 24" sheetId="160" r:id="rId71"/>
    <sheet name="Spielbericht 24" sheetId="161" state="hidden" r:id="rId72"/>
    <sheet name="Aufgebot 25" sheetId="162" state="hidden" r:id="rId73"/>
    <sheet name="Spielbericht 25" sheetId="163" state="hidden" r:id="rId74"/>
    <sheet name="Aufgebot 26" sheetId="164" r:id="rId75"/>
    <sheet name="Spielbericht 26" sheetId="165" r:id="rId76"/>
    <sheet name="Aufgebot 27" sheetId="166" r:id="rId77"/>
    <sheet name="Spielbericht 27" sheetId="167" r:id="rId78"/>
    <sheet name="Aufgebot 28" sheetId="168" r:id="rId79"/>
    <sheet name="Spielbericht 28" sheetId="169" r:id="rId80"/>
    <sheet name="Aufgebot 29" sheetId="171" r:id="rId81"/>
    <sheet name="Anfrage 29" sheetId="192" state="hidden" r:id="rId82"/>
    <sheet name="Spielbericht 29" sheetId="170" r:id="rId83"/>
    <sheet name="Aufgebot 30" sheetId="172" r:id="rId84"/>
    <sheet name="Spielbericht 30" sheetId="180" r:id="rId85"/>
    <sheet name="Final 2024" sheetId="178" r:id="rId86"/>
    <sheet name="SB_Final 2004" sheetId="179" r:id="rId87"/>
  </sheets>
  <definedNames>
    <definedName name="_xlnm._FilterDatabase" localSheetId="3" hidden="1">'2022_Adressen '!$E$2:$T$59</definedName>
    <definedName name="_xlnm._FilterDatabase" localSheetId="0" hidden="1">'Adressen Daten 25'!$A$1:$S$61</definedName>
    <definedName name="_xlnm._FilterDatabase" localSheetId="8" hidden="1">Eigaben!$B$2:$V$2</definedName>
    <definedName name="_xlnm._FilterDatabase" localSheetId="1" hidden="1">Schiri_25!$B$1:$L$127</definedName>
    <definedName name="_xlnm._FilterDatabase" localSheetId="10" hidden="1">zusammenfassung_25!$A$3:$J$29</definedName>
    <definedName name="_xlnm.Print_Area" localSheetId="24">'Aufgebot 1'!$A$1:$AA$48</definedName>
    <definedName name="_xlnm.Print_Area" localSheetId="42">'Aufgebot 10'!$A$1:$AA$48</definedName>
    <definedName name="_xlnm.Print_Area" localSheetId="44">'Aufgebot 11'!$A$1:$AA$47</definedName>
    <definedName name="_xlnm.Print_Area" localSheetId="46">'Aufgebot 12'!$A$1:$AA$48</definedName>
    <definedName name="_xlnm.Print_Area" localSheetId="48">'Aufgebot 13'!$A$1:$AA$48</definedName>
    <definedName name="_xlnm.Print_Area" localSheetId="50">'Aufgebot 14'!$A$1:$AA$48</definedName>
    <definedName name="_xlnm.Print_Area" localSheetId="52">'Aufgebot 15'!$A$1:$AA$48</definedName>
    <definedName name="_xlnm.Print_Area" localSheetId="54">'Aufgebot 16'!$A$1:$AA$48</definedName>
    <definedName name="_xlnm.Print_Area" localSheetId="56">'Aufgebot 17'!$A$1:$AA$48</definedName>
    <definedName name="_xlnm.Print_Area" localSheetId="58">'Aufgebot 18'!$A$1:$AA$48</definedName>
    <definedName name="_xlnm.Print_Area" localSheetId="60">'Aufgebot 19'!$A$1:$AA$48</definedName>
    <definedName name="_xlnm.Print_Area" localSheetId="26">'Aufgebot 2'!$A$1:$AA$48</definedName>
    <definedName name="_xlnm.Print_Area" localSheetId="62">'Aufgebot 20'!$A$1:$AA$48</definedName>
    <definedName name="_xlnm.Print_Area" localSheetId="64">'Aufgebot 21'!$A$1:$AA$48</definedName>
    <definedName name="_xlnm.Print_Area" localSheetId="66">'Aufgebot 22'!$A$1:$AA$48</definedName>
    <definedName name="_xlnm.Print_Area" localSheetId="68">'Aufgebot 23'!$A$1:$AA$48</definedName>
    <definedName name="_xlnm.Print_Area" localSheetId="70">'Aufgebot 24'!$A$1:$AA$48</definedName>
    <definedName name="_xlnm.Print_Area" localSheetId="72">'Aufgebot 25'!$A$1:$AA$48</definedName>
    <definedName name="_xlnm.Print_Area" localSheetId="74">'Aufgebot 26'!$A$1:$AA$48</definedName>
    <definedName name="_xlnm.Print_Area" localSheetId="76">'Aufgebot 27'!$A$1:$AA$48</definedName>
    <definedName name="_xlnm.Print_Area" localSheetId="78">'Aufgebot 28'!$A$1:$AA$48</definedName>
    <definedName name="_xlnm.Print_Area" localSheetId="80">'Aufgebot 29'!$A$1:$AA$48</definedName>
    <definedName name="_xlnm.Print_Area" localSheetId="28">'Aufgebot 3'!$A$1:$AA$48</definedName>
    <definedName name="_xlnm.Print_Area" localSheetId="83">'Aufgebot 30'!$A$1:$AA$48</definedName>
    <definedName name="_xlnm.Print_Area" localSheetId="30">'Aufgebot 4'!$A$1:$AA$48</definedName>
    <definedName name="_xlnm.Print_Area" localSheetId="32">'Aufgebot 5'!$A$1:$AA$48</definedName>
    <definedName name="_xlnm.Print_Area" localSheetId="34">'Aufgebot 6'!$A$1:$AA$48</definedName>
    <definedName name="_xlnm.Print_Area" localSheetId="36">'Aufgebot 7'!$A$1:$AA$48</definedName>
    <definedName name="_xlnm.Print_Area" localSheetId="38">'Aufgebot 8'!$A$1:$AA$48</definedName>
    <definedName name="_xlnm.Print_Area" localSheetId="40">'Aufgebot 9'!$A$1:$AA$48</definedName>
    <definedName name="_xlnm.Print_Area" localSheetId="11">'Aufgebot A'!$A$1:$AA$48</definedName>
    <definedName name="_xlnm.Print_Area" localSheetId="14">'Aufgebot B'!$A$1:$AA$48</definedName>
    <definedName name="_xlnm.Print_Area" localSheetId="16">'Aufgebot C'!$A$1:$AA$48</definedName>
    <definedName name="_xlnm.Print_Area" localSheetId="18">'Aufgebot D'!$A$1:$AA$48</definedName>
    <definedName name="_xlnm.Print_Area" localSheetId="20">'Aufgebot E'!$A$1:$AA$48</definedName>
    <definedName name="_xlnm.Print_Area" localSheetId="22">'Aufgebot F'!$A$1:$AA$48</definedName>
    <definedName name="_xlnm.Print_Area" localSheetId="7">'CH Cup Tableau 2021 (2)'!$A$1:$AG$104</definedName>
    <definedName name="_xlnm.Print_Area" localSheetId="4">'CH Cup Tableau 2025'!$A$1:$AG$104</definedName>
    <definedName name="_xlnm.Print_Area" localSheetId="85">'Final 2024'!$A$1:$AA$47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7" i="87" l="1"/>
  <c r="E49" i="195"/>
  <c r="E50" i="195"/>
  <c r="J50" i="195"/>
  <c r="J49" i="195"/>
  <c r="J46" i="195"/>
  <c r="B50" i="195"/>
  <c r="C50" i="195"/>
  <c r="G49" i="195"/>
  <c r="F49" i="195"/>
  <c r="C49" i="195"/>
  <c r="F50" i="195"/>
  <c r="G50" i="195"/>
  <c r="B54" i="195"/>
  <c r="C54" i="195"/>
  <c r="D54" i="195"/>
  <c r="E54" i="195"/>
  <c r="F54" i="195"/>
  <c r="G54" i="195"/>
  <c r="J54" i="195"/>
  <c r="B55" i="195"/>
  <c r="C55" i="195"/>
  <c r="D55" i="195"/>
  <c r="E55" i="195"/>
  <c r="F55" i="195"/>
  <c r="G55" i="195"/>
  <c r="J55" i="195"/>
  <c r="B56" i="195"/>
  <c r="C56" i="195"/>
  <c r="D56" i="195"/>
  <c r="E56" i="195"/>
  <c r="F56" i="195"/>
  <c r="G56" i="195"/>
  <c r="J56" i="195"/>
  <c r="AG31" i="87"/>
  <c r="AG29" i="87"/>
  <c r="Z90" i="87"/>
  <c r="L15" i="171"/>
  <c r="S6" i="170"/>
  <c r="L15" i="168"/>
  <c r="S6" i="169"/>
  <c r="Z66" i="87"/>
  <c r="Z68" i="87"/>
  <c r="W40" i="87"/>
  <c r="Z44" i="87"/>
  <c r="Z42" i="87"/>
  <c r="I47" i="87"/>
  <c r="P48" i="87"/>
  <c r="W44" i="87"/>
  <c r="AD31" i="87"/>
  <c r="I38" i="87"/>
  <c r="P37" i="87"/>
  <c r="W42" i="87"/>
  <c r="L15" i="164"/>
  <c r="S6" i="165"/>
  <c r="I28" i="87"/>
  <c r="P25" i="87"/>
  <c r="W19" i="87"/>
  <c r="AD29" i="87"/>
  <c r="I75" i="87"/>
  <c r="P74" i="87"/>
  <c r="W68" i="87"/>
  <c r="AD78" i="87"/>
  <c r="C16" i="166"/>
  <c r="A19" i="166"/>
  <c r="S50" i="87"/>
  <c r="S48" i="87"/>
  <c r="Z19" i="87"/>
  <c r="Z17" i="87"/>
  <c r="C13" i="162"/>
  <c r="T15" i="162"/>
  <c r="L15" i="162"/>
  <c r="G15" i="162"/>
  <c r="A15" i="162"/>
  <c r="P9" i="87"/>
  <c r="I6" i="87"/>
  <c r="S13" i="87"/>
  <c r="S11" i="87"/>
  <c r="G31" i="195"/>
  <c r="F31" i="195"/>
  <c r="G15" i="145"/>
  <c r="A15" i="145"/>
  <c r="A12" i="146"/>
  <c r="A6" i="145"/>
  <c r="AH72" i="15"/>
  <c r="A12" i="145"/>
  <c r="C16" i="148"/>
  <c r="P33" i="87"/>
  <c r="I36" i="87"/>
  <c r="S86" i="87"/>
  <c r="S84" i="87"/>
  <c r="Z81" i="15"/>
  <c r="K64" i="15"/>
  <c r="H64" i="15"/>
  <c r="S37" i="87"/>
  <c r="S35" i="87"/>
  <c r="O6" i="145"/>
  <c r="C13" i="145"/>
  <c r="T15" i="145"/>
  <c r="L15" i="145"/>
  <c r="C13" i="158"/>
  <c r="T15" i="158"/>
  <c r="L15" i="158"/>
  <c r="G15" i="158"/>
  <c r="A15" i="158"/>
  <c r="L10" i="87"/>
  <c r="L8" i="87"/>
  <c r="AH6" i="161"/>
  <c r="C13" i="160"/>
  <c r="A15" i="160"/>
  <c r="B32" i="195"/>
  <c r="B33" i="195"/>
  <c r="B34" i="195"/>
  <c r="B35" i="195"/>
  <c r="B36" i="195"/>
  <c r="B37" i="195"/>
  <c r="B38" i="195"/>
  <c r="B31" i="195"/>
  <c r="D32" i="195"/>
  <c r="D33" i="195"/>
  <c r="D34" i="195"/>
  <c r="D35" i="195"/>
  <c r="D36" i="195"/>
  <c r="D37" i="195"/>
  <c r="D38" i="195"/>
  <c r="D31" i="195"/>
  <c r="Z70" i="15"/>
  <c r="E31" i="195"/>
  <c r="Z75" i="15"/>
  <c r="H51" i="15"/>
  <c r="Z57" i="15"/>
  <c r="H52" i="15"/>
  <c r="Z86" i="15"/>
  <c r="H53" i="15"/>
  <c r="Z79" i="15"/>
  <c r="H54" i="15"/>
  <c r="Z60" i="15"/>
  <c r="H55" i="15"/>
  <c r="Z64" i="15"/>
  <c r="H56" i="15"/>
  <c r="Z63" i="15"/>
  <c r="H57" i="15"/>
  <c r="Z72" i="15"/>
  <c r="C31" i="195"/>
  <c r="A6" i="112"/>
  <c r="AA74" i="15"/>
  <c r="AB74" i="15"/>
  <c r="A9" i="112"/>
  <c r="AB23" i="113"/>
  <c r="U65" i="15"/>
  <c r="J43" i="195"/>
  <c r="U66" i="15"/>
  <c r="J44" i="195"/>
  <c r="U67" i="15"/>
  <c r="J45" i="195"/>
  <c r="U64" i="15"/>
  <c r="J42" i="195"/>
  <c r="U51" i="15"/>
  <c r="J32" i="195"/>
  <c r="U52" i="15"/>
  <c r="J33" i="195"/>
  <c r="U53" i="15"/>
  <c r="J34" i="195"/>
  <c r="U54" i="15"/>
  <c r="J35" i="195"/>
  <c r="U55" i="15"/>
  <c r="J36" i="195"/>
  <c r="U56" i="15"/>
  <c r="J37" i="195"/>
  <c r="U57" i="15"/>
  <c r="J38" i="195"/>
  <c r="U50" i="15"/>
  <c r="J31" i="195"/>
  <c r="U29" i="15"/>
  <c r="J13" i="195"/>
  <c r="U30" i="15"/>
  <c r="J14" i="195"/>
  <c r="U31" i="15"/>
  <c r="J15" i="195"/>
  <c r="U32" i="15"/>
  <c r="J16" i="195"/>
  <c r="U33" i="15"/>
  <c r="J17" i="195"/>
  <c r="U34" i="15"/>
  <c r="J18" i="195"/>
  <c r="U35" i="15"/>
  <c r="J19" i="195"/>
  <c r="U36" i="15"/>
  <c r="J20" i="195"/>
  <c r="U37" i="15"/>
  <c r="J21" i="195"/>
  <c r="U38" i="15"/>
  <c r="J22" i="195"/>
  <c r="U39" i="15"/>
  <c r="J23" i="195"/>
  <c r="U40" i="15"/>
  <c r="J24" i="195"/>
  <c r="U41" i="15"/>
  <c r="J25" i="195"/>
  <c r="U42" i="15"/>
  <c r="J26" i="195"/>
  <c r="U43" i="15"/>
  <c r="J27" i="195"/>
  <c r="U28" i="15"/>
  <c r="J12" i="195"/>
  <c r="U7" i="15"/>
  <c r="J5" i="195"/>
  <c r="U8" i="15"/>
  <c r="J6" i="195"/>
  <c r="U9" i="15"/>
  <c r="J7" i="195"/>
  <c r="U10" i="15"/>
  <c r="J8" i="195"/>
  <c r="U11" i="15"/>
  <c r="J9" i="195"/>
  <c r="U12" i="15"/>
  <c r="J10" i="195"/>
  <c r="U13" i="15"/>
  <c r="J11" i="195"/>
  <c r="U6" i="15"/>
  <c r="J4" i="195"/>
  <c r="F43" i="195"/>
  <c r="F44" i="195"/>
  <c r="F45" i="195"/>
  <c r="G43" i="195"/>
  <c r="G44" i="195"/>
  <c r="G45" i="195"/>
  <c r="G42" i="195"/>
  <c r="F42" i="195"/>
  <c r="H65" i="15"/>
  <c r="C43" i="195"/>
  <c r="H66" i="15"/>
  <c r="C44" i="195"/>
  <c r="Z85" i="15"/>
  <c r="H67" i="15"/>
  <c r="C45" i="195"/>
  <c r="K65" i="15"/>
  <c r="E43" i="195"/>
  <c r="Z84" i="15"/>
  <c r="K66" i="15"/>
  <c r="E44" i="195"/>
  <c r="K67" i="15"/>
  <c r="E45" i="195"/>
  <c r="K68" i="15"/>
  <c r="E42" i="195"/>
  <c r="I8" i="87"/>
  <c r="P11" i="87"/>
  <c r="W17" i="87"/>
  <c r="C42" i="195"/>
  <c r="D43" i="195"/>
  <c r="D44" i="195"/>
  <c r="D45" i="195"/>
  <c r="B43" i="195"/>
  <c r="B44" i="195"/>
  <c r="B45" i="195"/>
  <c r="D42" i="195"/>
  <c r="B42" i="195"/>
  <c r="S60" i="87"/>
  <c r="G32" i="195"/>
  <c r="G33" i="195"/>
  <c r="G34" i="195"/>
  <c r="G35" i="195"/>
  <c r="G36" i="195"/>
  <c r="G37" i="195"/>
  <c r="G38" i="195"/>
  <c r="F32" i="195"/>
  <c r="F33" i="195"/>
  <c r="F34" i="195"/>
  <c r="F35" i="195"/>
  <c r="F36" i="195"/>
  <c r="F37" i="195"/>
  <c r="F38" i="195"/>
  <c r="Z83" i="15"/>
  <c r="K52" i="15"/>
  <c r="E33" i="195"/>
  <c r="Z80" i="15"/>
  <c r="K53" i="15"/>
  <c r="E34" i="195"/>
  <c r="K54" i="15"/>
  <c r="E35" i="195"/>
  <c r="Z76" i="15"/>
  <c r="K55" i="15"/>
  <c r="E36" i="195"/>
  <c r="K56" i="15"/>
  <c r="E37" i="195"/>
  <c r="Z82" i="15"/>
  <c r="K57" i="15"/>
  <c r="E38" i="195"/>
  <c r="C33" i="195"/>
  <c r="C34" i="195"/>
  <c r="C35" i="195"/>
  <c r="C36" i="195"/>
  <c r="C37" i="195"/>
  <c r="C38" i="195"/>
  <c r="K51" i="15"/>
  <c r="E32" i="195"/>
  <c r="C32" i="195"/>
  <c r="H44" i="15"/>
  <c r="C28" i="195"/>
  <c r="G34" i="154"/>
  <c r="H48" i="153"/>
  <c r="H45" i="153"/>
  <c r="H43" i="153"/>
  <c r="H41" i="153"/>
  <c r="H39" i="153"/>
  <c r="H36" i="153"/>
  <c r="H34" i="153"/>
  <c r="I48" i="153"/>
  <c r="I45" i="153"/>
  <c r="I43" i="153"/>
  <c r="I41" i="153"/>
  <c r="I39" i="153"/>
  <c r="I36" i="153"/>
  <c r="I34" i="153"/>
  <c r="I32" i="153"/>
  <c r="H32" i="153"/>
  <c r="I30" i="153"/>
  <c r="G30" i="153"/>
  <c r="H30" i="153"/>
  <c r="C13" i="154"/>
  <c r="T15" i="154"/>
  <c r="L15" i="154"/>
  <c r="G15" i="154"/>
  <c r="A15" i="154"/>
  <c r="I79" i="87"/>
  <c r="I24" i="87"/>
  <c r="I91" i="87"/>
  <c r="L47" i="87"/>
  <c r="I43" i="87"/>
  <c r="I73" i="87"/>
  <c r="I49" i="87"/>
  <c r="F16" i="87"/>
  <c r="Z56" i="15"/>
  <c r="C14" i="87"/>
  <c r="H8" i="87"/>
  <c r="G27" i="195"/>
  <c r="I18" i="87"/>
  <c r="L20" i="87"/>
  <c r="H33" i="15"/>
  <c r="C17" i="195"/>
  <c r="L38" i="87"/>
  <c r="L40" i="87"/>
  <c r="I67" i="87"/>
  <c r="I61" i="87"/>
  <c r="A12" i="117"/>
  <c r="A6" i="116"/>
  <c r="AH71" i="15"/>
  <c r="A12" i="116"/>
  <c r="I85" i="87"/>
  <c r="I55" i="87"/>
  <c r="I97" i="87"/>
  <c r="C16" i="138"/>
  <c r="R19" i="138"/>
  <c r="C13" i="136"/>
  <c r="T15" i="136"/>
  <c r="L15" i="136"/>
  <c r="G15" i="136"/>
  <c r="A15" i="136"/>
  <c r="C13" i="118"/>
  <c r="T15" i="118"/>
  <c r="L15" i="118"/>
  <c r="C3" i="15"/>
  <c r="G15" i="118"/>
  <c r="A15" i="118"/>
  <c r="F10" i="87"/>
  <c r="C13" i="120"/>
  <c r="T15" i="120"/>
  <c r="L15" i="120"/>
  <c r="G15" i="120"/>
  <c r="A15" i="120"/>
  <c r="C13" i="140"/>
  <c r="T15" i="140"/>
  <c r="L15" i="140"/>
  <c r="G15" i="140"/>
  <c r="A15" i="140"/>
  <c r="C13" i="130"/>
  <c r="T15" i="130"/>
  <c r="L15" i="130"/>
  <c r="G15" i="130"/>
  <c r="A15" i="130"/>
  <c r="D13" i="195"/>
  <c r="D14" i="195"/>
  <c r="G31" i="15"/>
  <c r="D15" i="195"/>
  <c r="D16" i="195"/>
  <c r="D17" i="195"/>
  <c r="D18" i="195"/>
  <c r="D19" i="195"/>
  <c r="D20" i="195"/>
  <c r="D21" i="195"/>
  <c r="D22" i="195"/>
  <c r="D23" i="195"/>
  <c r="D24" i="195"/>
  <c r="D25" i="195"/>
  <c r="D26" i="195"/>
  <c r="D27" i="195"/>
  <c r="B13" i="195"/>
  <c r="B14" i="195"/>
  <c r="B15" i="195"/>
  <c r="B16" i="195"/>
  <c r="B17" i="195"/>
  <c r="B18" i="195"/>
  <c r="B19" i="195"/>
  <c r="B20" i="195"/>
  <c r="B21" i="195"/>
  <c r="B22" i="195"/>
  <c r="B23" i="195"/>
  <c r="B24" i="195"/>
  <c r="B25" i="195"/>
  <c r="B26" i="195"/>
  <c r="B27" i="195"/>
  <c r="C12" i="87"/>
  <c r="F13" i="195"/>
  <c r="G13" i="195"/>
  <c r="F14" i="195"/>
  <c r="G14" i="195"/>
  <c r="F15" i="195"/>
  <c r="G15" i="195"/>
  <c r="F16" i="195"/>
  <c r="G16" i="195"/>
  <c r="F17" i="195"/>
  <c r="G17" i="195"/>
  <c r="F18" i="195"/>
  <c r="G18" i="195"/>
  <c r="F19" i="195"/>
  <c r="G19" i="195"/>
  <c r="F20" i="195"/>
  <c r="G20" i="195"/>
  <c r="F21" i="195"/>
  <c r="G21" i="195"/>
  <c r="F22" i="195"/>
  <c r="G22" i="195"/>
  <c r="F23" i="195"/>
  <c r="G23" i="195"/>
  <c r="F24" i="195"/>
  <c r="G24" i="195"/>
  <c r="F25" i="195"/>
  <c r="G25" i="195"/>
  <c r="F26" i="195"/>
  <c r="G26" i="195"/>
  <c r="F27" i="195"/>
  <c r="G12" i="195"/>
  <c r="F12" i="195"/>
  <c r="F6" i="195"/>
  <c r="G6" i="195"/>
  <c r="F7" i="195"/>
  <c r="G7" i="195"/>
  <c r="D12" i="195"/>
  <c r="B12" i="195"/>
  <c r="F5" i="195"/>
  <c r="D5" i="195"/>
  <c r="B5" i="195"/>
  <c r="D4" i="195"/>
  <c r="B4" i="195"/>
  <c r="O6" i="138"/>
  <c r="AG54" i="15"/>
  <c r="AG63" i="15"/>
  <c r="U11" i="138"/>
  <c r="C13" i="182"/>
  <c r="A15" i="182"/>
  <c r="C16" i="182"/>
  <c r="A19" i="182"/>
  <c r="O6" i="124"/>
  <c r="AG86" i="15"/>
  <c r="U11" i="124"/>
  <c r="O6" i="114"/>
  <c r="AG75" i="15"/>
  <c r="U11" i="114"/>
  <c r="AF54" i="15"/>
  <c r="AF74" i="15"/>
  <c r="A11" i="112"/>
  <c r="O6" i="112"/>
  <c r="AG70" i="15"/>
  <c r="U11" i="112"/>
  <c r="O6" i="90"/>
  <c r="AG87" i="15"/>
  <c r="U11" i="90"/>
  <c r="O6" i="19"/>
  <c r="AC62" i="15"/>
  <c r="O10" i="19"/>
  <c r="A6" i="19"/>
  <c r="Z61" i="15"/>
  <c r="A8" i="19"/>
  <c r="AH61" i="15"/>
  <c r="A12" i="19"/>
  <c r="AG61" i="15"/>
  <c r="G11" i="19"/>
  <c r="AF61" i="15"/>
  <c r="A11" i="19"/>
  <c r="AC72" i="15"/>
  <c r="AD72" i="15"/>
  <c r="AE72" i="15"/>
  <c r="AG72" i="15"/>
  <c r="E1" i="90"/>
  <c r="D2" i="90"/>
  <c r="A5" i="90"/>
  <c r="F5" i="90"/>
  <c r="O5" i="90"/>
  <c r="A6" i="90"/>
  <c r="A8" i="90"/>
  <c r="Z87" i="15"/>
  <c r="O8" i="90"/>
  <c r="AA72" i="15"/>
  <c r="AB72" i="15"/>
  <c r="A9" i="90"/>
  <c r="AA87" i="15"/>
  <c r="AB87" i="15"/>
  <c r="O9" i="90"/>
  <c r="A10" i="90"/>
  <c r="G10" i="90"/>
  <c r="AC87" i="15"/>
  <c r="O10" i="90"/>
  <c r="AD87" i="15"/>
  <c r="AE87" i="15"/>
  <c r="U10" i="90"/>
  <c r="AF72" i="15"/>
  <c r="A11" i="90"/>
  <c r="G11" i="90"/>
  <c r="AF55" i="15"/>
  <c r="AF87" i="15"/>
  <c r="O11" i="90"/>
  <c r="A12" i="90"/>
  <c r="AH87" i="15"/>
  <c r="O12" i="90"/>
  <c r="C13" i="90"/>
  <c r="A15" i="90"/>
  <c r="G15" i="90"/>
  <c r="M23" i="90"/>
  <c r="L15" i="90"/>
  <c r="T15" i="90"/>
  <c r="D2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D116" i="3"/>
  <c r="E116" i="3"/>
  <c r="D117" i="3"/>
  <c r="E117" i="3"/>
  <c r="D118" i="3"/>
  <c r="E118" i="3"/>
  <c r="D119" i="3"/>
  <c r="E119" i="3"/>
  <c r="D120" i="3"/>
  <c r="E120" i="3"/>
  <c r="D121" i="3"/>
  <c r="E121" i="3"/>
  <c r="D122" i="3"/>
  <c r="E122" i="3"/>
  <c r="D123" i="3"/>
  <c r="E123" i="3"/>
  <c r="D124" i="3"/>
  <c r="E124" i="3"/>
  <c r="D125" i="3"/>
  <c r="E125" i="3"/>
  <c r="D126" i="3"/>
  <c r="E126" i="3"/>
  <c r="D127" i="3"/>
  <c r="E127" i="3"/>
  <c r="D3" i="3"/>
  <c r="E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E2" i="3"/>
  <c r="O6" i="126"/>
  <c r="AG84" i="15"/>
  <c r="U11" i="126"/>
  <c r="A6" i="126"/>
  <c r="AG67" i="15"/>
  <c r="G11" i="126"/>
  <c r="Z55" i="15"/>
  <c r="AA55" i="15"/>
  <c r="AB55" i="15"/>
  <c r="AC55" i="15"/>
  <c r="AD55" i="15"/>
  <c r="AE55" i="15"/>
  <c r="AG55" i="15"/>
  <c r="AH55" i="15"/>
  <c r="AA56" i="15"/>
  <c r="AB56" i="15"/>
  <c r="AC56" i="15"/>
  <c r="AD56" i="15"/>
  <c r="AE56" i="15"/>
  <c r="AF56" i="15"/>
  <c r="AG56" i="15"/>
  <c r="AH56" i="15"/>
  <c r="AA57" i="15"/>
  <c r="AB57" i="15"/>
  <c r="AC57" i="15"/>
  <c r="AD57" i="15"/>
  <c r="AE57" i="15"/>
  <c r="AF57" i="15"/>
  <c r="AG57" i="15"/>
  <c r="AH57" i="15"/>
  <c r="Z58" i="15"/>
  <c r="AA58" i="15"/>
  <c r="AB58" i="15"/>
  <c r="AC58" i="15"/>
  <c r="AD58" i="15"/>
  <c r="AE58" i="15"/>
  <c r="AF58" i="15"/>
  <c r="AG58" i="15"/>
  <c r="AH58" i="15"/>
  <c r="Z59" i="15"/>
  <c r="AA59" i="15"/>
  <c r="AB59" i="15"/>
  <c r="AC59" i="15"/>
  <c r="AD59" i="15"/>
  <c r="AE59" i="15"/>
  <c r="AF59" i="15"/>
  <c r="O6" i="182"/>
  <c r="O11" i="182"/>
  <c r="AG59" i="15"/>
  <c r="AH59" i="15"/>
  <c r="AA60" i="15"/>
  <c r="AB60" i="15"/>
  <c r="AC60" i="15"/>
  <c r="AD60" i="15"/>
  <c r="AE60" i="15"/>
  <c r="AF60" i="15"/>
  <c r="AG60" i="15"/>
  <c r="AH60" i="15"/>
  <c r="AA61" i="15"/>
  <c r="AB61" i="15"/>
  <c r="AC61" i="15"/>
  <c r="AD61" i="15"/>
  <c r="AE61" i="15"/>
  <c r="Z62" i="15"/>
  <c r="AA62" i="15"/>
  <c r="AB62" i="15"/>
  <c r="AD62" i="15"/>
  <c r="AE62" i="15"/>
  <c r="AF62" i="15"/>
  <c r="AG62" i="15"/>
  <c r="AH62" i="15"/>
  <c r="AA63" i="15"/>
  <c r="AB63" i="15"/>
  <c r="AC63" i="15"/>
  <c r="AD63" i="15"/>
  <c r="AE63" i="15"/>
  <c r="AF63" i="15"/>
  <c r="AH63" i="15"/>
  <c r="AA64" i="15"/>
  <c r="AB64" i="15"/>
  <c r="AC64" i="15"/>
  <c r="AD64" i="15"/>
  <c r="AE64" i="15"/>
  <c r="AF64" i="15"/>
  <c r="AG64" i="15"/>
  <c r="AH64" i="15"/>
  <c r="Z65" i="15"/>
  <c r="AA65" i="15"/>
  <c r="AB65" i="15"/>
  <c r="AC65" i="15"/>
  <c r="AD65" i="15"/>
  <c r="AE65" i="15"/>
  <c r="AF65" i="15"/>
  <c r="AG65" i="15"/>
  <c r="AH65" i="15"/>
  <c r="Z66" i="15"/>
  <c r="AA66" i="15"/>
  <c r="AB66" i="15"/>
  <c r="AC66" i="15"/>
  <c r="AD66" i="15"/>
  <c r="AE66" i="15"/>
  <c r="AF66" i="15"/>
  <c r="AG66" i="15"/>
  <c r="AH66" i="15"/>
  <c r="Z67" i="15"/>
  <c r="AA67" i="15"/>
  <c r="AB67" i="15"/>
  <c r="AC67" i="15"/>
  <c r="AD67" i="15"/>
  <c r="AE67" i="15"/>
  <c r="AF67" i="15"/>
  <c r="AH67" i="15"/>
  <c r="Z68" i="15"/>
  <c r="AA68" i="15"/>
  <c r="AB68" i="15"/>
  <c r="AC68" i="15"/>
  <c r="AD68" i="15"/>
  <c r="AE68" i="15"/>
  <c r="AF68" i="15"/>
  <c r="AG68" i="15"/>
  <c r="AH68" i="15"/>
  <c r="Z69" i="15"/>
  <c r="AA69" i="15"/>
  <c r="AB69" i="15"/>
  <c r="AC69" i="15"/>
  <c r="AD69" i="15"/>
  <c r="AE69" i="15"/>
  <c r="AF69" i="15"/>
  <c r="AG69" i="15"/>
  <c r="AH69" i="15"/>
  <c r="AA70" i="15"/>
  <c r="AB70" i="15"/>
  <c r="AC70" i="15"/>
  <c r="AD70" i="15"/>
  <c r="AE70" i="15"/>
  <c r="AF70" i="15"/>
  <c r="AH70" i="15"/>
  <c r="Z71" i="15"/>
  <c r="AA71" i="15"/>
  <c r="AB71" i="15"/>
  <c r="AC71" i="15"/>
  <c r="AD71" i="15"/>
  <c r="AE71" i="15"/>
  <c r="AF71" i="15"/>
  <c r="AG71" i="15"/>
  <c r="Z73" i="15"/>
  <c r="AA73" i="15"/>
  <c r="AB73" i="15"/>
  <c r="AC73" i="15"/>
  <c r="AD73" i="15"/>
  <c r="AE73" i="15"/>
  <c r="AF73" i="15"/>
  <c r="AG73" i="15"/>
  <c r="AH73" i="15"/>
  <c r="Z74" i="15"/>
  <c r="AC74" i="15"/>
  <c r="AD74" i="15"/>
  <c r="AE74" i="15"/>
  <c r="AG74" i="15"/>
  <c r="AH74" i="15"/>
  <c r="AA75" i="15"/>
  <c r="AB75" i="15"/>
  <c r="AC75" i="15"/>
  <c r="AD75" i="15"/>
  <c r="AE75" i="15"/>
  <c r="AF75" i="15"/>
  <c r="AH75" i="15"/>
  <c r="AA76" i="15"/>
  <c r="AB76" i="15"/>
  <c r="AC76" i="15"/>
  <c r="AD76" i="15"/>
  <c r="AE76" i="15"/>
  <c r="AF76" i="15"/>
  <c r="AG76" i="15"/>
  <c r="AH76" i="15"/>
  <c r="Z77" i="15"/>
  <c r="AA77" i="15"/>
  <c r="AB77" i="15"/>
  <c r="AC77" i="15"/>
  <c r="AD77" i="15"/>
  <c r="AE77" i="15"/>
  <c r="AF77" i="15"/>
  <c r="AG77" i="15"/>
  <c r="AH77" i="15"/>
  <c r="Z78" i="15"/>
  <c r="AA78" i="15"/>
  <c r="AB78" i="15"/>
  <c r="AC78" i="15"/>
  <c r="AD78" i="15"/>
  <c r="AE78" i="15"/>
  <c r="AF78" i="15"/>
  <c r="AG78" i="15"/>
  <c r="AH78" i="15"/>
  <c r="AA79" i="15"/>
  <c r="AB79" i="15"/>
  <c r="AC79" i="15"/>
  <c r="AD79" i="15"/>
  <c r="AE79" i="15"/>
  <c r="AF79" i="15"/>
  <c r="AG79" i="15"/>
  <c r="AH79" i="15"/>
  <c r="AA80" i="15"/>
  <c r="AB80" i="15"/>
  <c r="AC80" i="15"/>
  <c r="AD80" i="15"/>
  <c r="AE80" i="15"/>
  <c r="AF80" i="15"/>
  <c r="AG80" i="15"/>
  <c r="AH80" i="15"/>
  <c r="AA81" i="15"/>
  <c r="AB81" i="15"/>
  <c r="AC81" i="15"/>
  <c r="AD81" i="15"/>
  <c r="AE81" i="15"/>
  <c r="AF81" i="15"/>
  <c r="AG81" i="15"/>
  <c r="AH81" i="15"/>
  <c r="B85" i="88"/>
  <c r="AA82" i="15"/>
  <c r="AB82" i="15"/>
  <c r="AC82" i="15"/>
  <c r="AD82" i="15"/>
  <c r="AE82" i="15"/>
  <c r="AF82" i="15"/>
  <c r="AG82" i="15"/>
  <c r="AH82" i="15"/>
  <c r="AA83" i="15"/>
  <c r="AB83" i="15"/>
  <c r="AC83" i="15"/>
  <c r="AD83" i="15"/>
  <c r="AE83" i="15"/>
  <c r="AF83" i="15"/>
  <c r="AG83" i="15"/>
  <c r="AH83" i="15"/>
  <c r="B91" i="88"/>
  <c r="AA84" i="15"/>
  <c r="AB84" i="15"/>
  <c r="AC84" i="15"/>
  <c r="AD84" i="15"/>
  <c r="AE84" i="15"/>
  <c r="AF84" i="15"/>
  <c r="AH84" i="15"/>
  <c r="AA85" i="15"/>
  <c r="AB85" i="15"/>
  <c r="AC85" i="15"/>
  <c r="AD85" i="15"/>
  <c r="AE85" i="15"/>
  <c r="AF85" i="15"/>
  <c r="AG85" i="15"/>
  <c r="AH85" i="15"/>
  <c r="AA86" i="15"/>
  <c r="AB86" i="15"/>
  <c r="AC86" i="15"/>
  <c r="AD86" i="15"/>
  <c r="AE86" i="15"/>
  <c r="AF86" i="15"/>
  <c r="AH86" i="15"/>
  <c r="O12" i="124"/>
  <c r="O12" i="182"/>
  <c r="U11" i="182"/>
  <c r="A6" i="182"/>
  <c r="G11" i="182"/>
  <c r="H34" i="87"/>
  <c r="D15" i="193"/>
  <c r="H26" i="87"/>
  <c r="H10" i="87"/>
  <c r="D12" i="193"/>
  <c r="D13" i="193"/>
  <c r="B13" i="193"/>
  <c r="B14" i="193"/>
  <c r="B15" i="193"/>
  <c r="B16" i="193"/>
  <c r="B17" i="193"/>
  <c r="B18" i="193"/>
  <c r="B19" i="193"/>
  <c r="B20" i="193"/>
  <c r="B21" i="193"/>
  <c r="B22" i="193"/>
  <c r="B23" i="193"/>
  <c r="B24" i="193"/>
  <c r="B25" i="193"/>
  <c r="B26" i="193"/>
  <c r="B27" i="193"/>
  <c r="B28" i="193"/>
  <c r="B67" i="88"/>
  <c r="B70" i="88"/>
  <c r="B73" i="88"/>
  <c r="B79" i="88"/>
  <c r="B82" i="88"/>
  <c r="B94" i="88"/>
  <c r="B97" i="88"/>
  <c r="C8" i="87"/>
  <c r="X48" i="194"/>
  <c r="G34" i="194"/>
  <c r="F30" i="194"/>
  <c r="Y27" i="194"/>
  <c r="C16" i="194"/>
  <c r="M19" i="194"/>
  <c r="G19" i="194"/>
  <c r="C13" i="194"/>
  <c r="L15" i="194"/>
  <c r="G15" i="194"/>
  <c r="M23" i="194"/>
  <c r="A15" i="194"/>
  <c r="O6" i="194"/>
  <c r="A6" i="194"/>
  <c r="Y5" i="194"/>
  <c r="O5" i="194"/>
  <c r="F5" i="194"/>
  <c r="A5" i="194"/>
  <c r="F2" i="194"/>
  <c r="E1" i="194"/>
  <c r="D4" i="193"/>
  <c r="C11" i="193"/>
  <c r="E11" i="193"/>
  <c r="G4" i="193"/>
  <c r="F11" i="193"/>
  <c r="H95" i="87"/>
  <c r="H63" i="87"/>
  <c r="H57" i="87"/>
  <c r="H51" i="87"/>
  <c r="H45" i="87"/>
  <c r="H22" i="87"/>
  <c r="H20" i="87"/>
  <c r="H14" i="87"/>
  <c r="O11" i="194"/>
  <c r="O10" i="194"/>
  <c r="D14" i="193"/>
  <c r="F14" i="193"/>
  <c r="G14" i="193"/>
  <c r="F15" i="193"/>
  <c r="G15" i="193"/>
  <c r="D16" i="193"/>
  <c r="F16" i="193"/>
  <c r="G16" i="193"/>
  <c r="D17" i="193"/>
  <c r="F17" i="193"/>
  <c r="G17" i="193"/>
  <c r="D18" i="193"/>
  <c r="F18" i="193"/>
  <c r="G18" i="193"/>
  <c r="D19" i="193"/>
  <c r="F19" i="193"/>
  <c r="G19" i="193"/>
  <c r="D20" i="193"/>
  <c r="F20" i="193"/>
  <c r="G20" i="193"/>
  <c r="D21" i="193"/>
  <c r="F21" i="193"/>
  <c r="G21" i="193"/>
  <c r="D22" i="193"/>
  <c r="F22" i="193"/>
  <c r="G22" i="193"/>
  <c r="D23" i="193"/>
  <c r="F23" i="193"/>
  <c r="G23" i="193"/>
  <c r="D24" i="193"/>
  <c r="F24" i="193"/>
  <c r="G24" i="193"/>
  <c r="D25" i="193"/>
  <c r="F25" i="193"/>
  <c r="G25" i="193"/>
  <c r="D26" i="193"/>
  <c r="F26" i="193"/>
  <c r="G26" i="193"/>
  <c r="D27" i="193"/>
  <c r="F27" i="193"/>
  <c r="G27" i="193"/>
  <c r="F13" i="193"/>
  <c r="G13" i="193"/>
  <c r="G12" i="193"/>
  <c r="F12" i="193"/>
  <c r="B12" i="193"/>
  <c r="B76" i="88"/>
  <c r="B88" i="88"/>
  <c r="Q43" i="12"/>
  <c r="T15" i="194"/>
  <c r="H16" i="87"/>
  <c r="O12" i="194"/>
  <c r="A9" i="194"/>
  <c r="O9" i="194"/>
  <c r="U10" i="194"/>
  <c r="R19" i="194"/>
  <c r="A8" i="194"/>
  <c r="A10" i="194"/>
  <c r="A12" i="194"/>
  <c r="A19" i="194"/>
  <c r="O8" i="194"/>
  <c r="G10" i="194"/>
  <c r="B64" i="88"/>
  <c r="AD54" i="15"/>
  <c r="AC54" i="15"/>
  <c r="AE54" i="15"/>
  <c r="A11" i="194"/>
  <c r="U11" i="19"/>
  <c r="AH54" i="15"/>
  <c r="AB54" i="15"/>
  <c r="AA54" i="15"/>
  <c r="U11" i="194"/>
  <c r="G11" i="194"/>
  <c r="C13" i="19"/>
  <c r="L15" i="19"/>
  <c r="A15" i="19"/>
  <c r="G15" i="19"/>
  <c r="M23" i="19"/>
  <c r="T15" i="19"/>
  <c r="C16" i="19"/>
  <c r="H7" i="15"/>
  <c r="C5" i="195"/>
  <c r="B45" i="12"/>
  <c r="S23" i="87"/>
  <c r="H3" i="15"/>
  <c r="Z54" i="15"/>
  <c r="H50" i="15"/>
  <c r="C13" i="171"/>
  <c r="X48" i="192"/>
  <c r="G34" i="192"/>
  <c r="Y27" i="192"/>
  <c r="C16" i="192"/>
  <c r="M19" i="192"/>
  <c r="O6" i="192"/>
  <c r="O10" i="192"/>
  <c r="O8" i="192"/>
  <c r="O12" i="192"/>
  <c r="A6" i="192"/>
  <c r="Y5" i="192"/>
  <c r="O5" i="192"/>
  <c r="F5" i="192"/>
  <c r="A5" i="192"/>
  <c r="D2" i="192"/>
  <c r="E1" i="192"/>
  <c r="A6" i="171"/>
  <c r="A8" i="171"/>
  <c r="Y27" i="172"/>
  <c r="C16" i="172"/>
  <c r="C13" i="172"/>
  <c r="S25" i="87"/>
  <c r="Y27" i="168"/>
  <c r="A6" i="164"/>
  <c r="A8" i="164"/>
  <c r="R19" i="192"/>
  <c r="O9" i="192"/>
  <c r="U10" i="192"/>
  <c r="U11" i="192"/>
  <c r="A19" i="192"/>
  <c r="A9" i="192"/>
  <c r="A8" i="192"/>
  <c r="A10" i="192"/>
  <c r="A12" i="192"/>
  <c r="G19" i="192"/>
  <c r="G10" i="192"/>
  <c r="C16" i="168"/>
  <c r="A19" i="168"/>
  <c r="G34" i="168"/>
  <c r="C13" i="168"/>
  <c r="S74" i="87"/>
  <c r="S62" i="87"/>
  <c r="C13" i="150"/>
  <c r="R43" i="12"/>
  <c r="C13" i="155"/>
  <c r="L89" i="87"/>
  <c r="K41" i="15"/>
  <c r="H41" i="15"/>
  <c r="R19" i="139"/>
  <c r="K36" i="15"/>
  <c r="O6" i="152"/>
  <c r="O8" i="152"/>
  <c r="L14" i="87"/>
  <c r="A6" i="152"/>
  <c r="G34" i="190"/>
  <c r="C16" i="190"/>
  <c r="A19" i="190"/>
  <c r="L15" i="190"/>
  <c r="G15" i="190"/>
  <c r="C13" i="190"/>
  <c r="T15" i="190"/>
  <c r="C13" i="124"/>
  <c r="T15" i="124"/>
  <c r="C25" i="193"/>
  <c r="C25" i="195"/>
  <c r="E20" i="193"/>
  <c r="E20" i="195"/>
  <c r="E25" i="193"/>
  <c r="E25" i="195"/>
  <c r="G15" i="124"/>
  <c r="L15" i="124"/>
  <c r="A15" i="190"/>
  <c r="A15" i="124"/>
  <c r="F32" i="87"/>
  <c r="Y27" i="187"/>
  <c r="Y27" i="186"/>
  <c r="G34" i="186"/>
  <c r="C13" i="186"/>
  <c r="C16" i="186"/>
  <c r="A19" i="186"/>
  <c r="U14" i="15"/>
  <c r="U15" i="15"/>
  <c r="U16" i="15"/>
  <c r="U17" i="15"/>
  <c r="U18" i="15"/>
  <c r="U19" i="15"/>
  <c r="U20" i="15"/>
  <c r="G34" i="184"/>
  <c r="Y27" i="184"/>
  <c r="C16" i="184"/>
  <c r="C13" i="184"/>
  <c r="K10" i="15"/>
  <c r="H10" i="15"/>
  <c r="K9" i="15"/>
  <c r="H9" i="15"/>
  <c r="K8" i="15"/>
  <c r="H8" i="15"/>
  <c r="K7" i="15"/>
  <c r="E5" i="195"/>
  <c r="K6" i="15"/>
  <c r="E4" i="195"/>
  <c r="H6" i="15"/>
  <c r="C4" i="193"/>
  <c r="C4" i="195"/>
  <c r="E13" i="193"/>
  <c r="E4" i="193"/>
  <c r="Y27" i="188"/>
  <c r="C16" i="188"/>
  <c r="A19" i="188"/>
  <c r="C13" i="188"/>
  <c r="T15" i="188"/>
  <c r="O6" i="188"/>
  <c r="A6" i="188"/>
  <c r="O6" i="190"/>
  <c r="O8" i="190"/>
  <c r="Y8" i="191"/>
  <c r="A6" i="190"/>
  <c r="AE59" i="191"/>
  <c r="AH6" i="191"/>
  <c r="X48" i="190"/>
  <c r="H48" i="191"/>
  <c r="F30" i="190"/>
  <c r="Y27" i="190"/>
  <c r="R19" i="190"/>
  <c r="E6" i="191"/>
  <c r="U11" i="190"/>
  <c r="O5" i="190"/>
  <c r="F5" i="190"/>
  <c r="A5" i="190"/>
  <c r="AD4" i="191"/>
  <c r="F2" i="190"/>
  <c r="E1" i="190"/>
  <c r="G1" i="191"/>
  <c r="AE60" i="189"/>
  <c r="AH6" i="189"/>
  <c r="X48" i="188"/>
  <c r="G34" i="188"/>
  <c r="I48" i="189"/>
  <c r="F30" i="188"/>
  <c r="U11" i="188"/>
  <c r="O5" i="188"/>
  <c r="F5" i="188"/>
  <c r="A5" i="188"/>
  <c r="AD4" i="189"/>
  <c r="F2" i="188"/>
  <c r="E1" i="188"/>
  <c r="G1" i="189"/>
  <c r="O6" i="186"/>
  <c r="U10" i="186"/>
  <c r="A6" i="186"/>
  <c r="G10" i="186"/>
  <c r="Y5" i="186"/>
  <c r="AH6" i="187"/>
  <c r="AE60" i="187"/>
  <c r="G39" i="187"/>
  <c r="X48" i="186"/>
  <c r="I48" i="187"/>
  <c r="F30" i="186"/>
  <c r="M19" i="186"/>
  <c r="R19" i="186"/>
  <c r="L15" i="186"/>
  <c r="S6" i="187"/>
  <c r="A15" i="186"/>
  <c r="E6" i="187"/>
  <c r="T15" i="186"/>
  <c r="U11" i="186"/>
  <c r="O5" i="186"/>
  <c r="F5" i="186"/>
  <c r="A5" i="186"/>
  <c r="AD4" i="187"/>
  <c r="F2" i="186"/>
  <c r="E1" i="186"/>
  <c r="G1" i="187"/>
  <c r="Y5" i="184"/>
  <c r="O6" i="184"/>
  <c r="O12" i="184"/>
  <c r="A6" i="184"/>
  <c r="AE60" i="185"/>
  <c r="AH6" i="185"/>
  <c r="X48" i="184"/>
  <c r="I45" i="185"/>
  <c r="F30" i="184"/>
  <c r="M19" i="184"/>
  <c r="G19" i="184"/>
  <c r="A19" i="184"/>
  <c r="R19" i="184"/>
  <c r="G15" i="184"/>
  <c r="M23" i="184"/>
  <c r="O5" i="184"/>
  <c r="F5" i="184"/>
  <c r="A5" i="184"/>
  <c r="AD4" i="185"/>
  <c r="F2" i="184"/>
  <c r="E1" i="184"/>
  <c r="G1" i="185"/>
  <c r="U10" i="182"/>
  <c r="G10" i="182"/>
  <c r="Y5" i="182"/>
  <c r="AH6" i="183"/>
  <c r="AE58" i="183"/>
  <c r="X48" i="182"/>
  <c r="G34" i="182"/>
  <c r="I45" i="183"/>
  <c r="F30" i="182"/>
  <c r="Y27" i="182"/>
  <c r="T15" i="182"/>
  <c r="O5" i="182"/>
  <c r="F5" i="182"/>
  <c r="A5" i="182"/>
  <c r="AD4" i="183"/>
  <c r="F2" i="182"/>
  <c r="E1" i="182"/>
  <c r="G1" i="183"/>
  <c r="H43" i="15"/>
  <c r="H40" i="15"/>
  <c r="H38" i="15"/>
  <c r="H37" i="15"/>
  <c r="H36" i="15"/>
  <c r="H39" i="15"/>
  <c r="H42" i="15"/>
  <c r="I93" i="87"/>
  <c r="H35" i="15"/>
  <c r="H34" i="15"/>
  <c r="H32" i="15"/>
  <c r="H31" i="15"/>
  <c r="H30" i="15"/>
  <c r="H29" i="15"/>
  <c r="C40" i="87"/>
  <c r="C32" i="87"/>
  <c r="C28" i="87"/>
  <c r="C26" i="87"/>
  <c r="C22" i="87"/>
  <c r="C20" i="87"/>
  <c r="C10" i="87"/>
  <c r="H11" i="15"/>
  <c r="D46" i="12"/>
  <c r="B42" i="86"/>
  <c r="B40" i="86"/>
  <c r="B39" i="86"/>
  <c r="B41" i="86"/>
  <c r="C46" i="86"/>
  <c r="D46" i="86"/>
  <c r="E46" i="86"/>
  <c r="F46" i="86"/>
  <c r="G46" i="86"/>
  <c r="H46" i="86"/>
  <c r="I46" i="86"/>
  <c r="C47" i="86"/>
  <c r="D47" i="86"/>
  <c r="E47" i="86"/>
  <c r="F47" i="86"/>
  <c r="G47" i="86"/>
  <c r="H47" i="86"/>
  <c r="I47" i="86"/>
  <c r="C48" i="86"/>
  <c r="D48" i="86"/>
  <c r="E48" i="86"/>
  <c r="F48" i="86"/>
  <c r="G48" i="86"/>
  <c r="H48" i="86"/>
  <c r="I48" i="86"/>
  <c r="C49" i="86"/>
  <c r="D49" i="86"/>
  <c r="E49" i="86"/>
  <c r="F49" i="86"/>
  <c r="G49" i="86"/>
  <c r="H49" i="86"/>
  <c r="I49" i="86"/>
  <c r="C50" i="86"/>
  <c r="D50" i="86"/>
  <c r="E50" i="86"/>
  <c r="F50" i="86"/>
  <c r="G50" i="86"/>
  <c r="H50" i="86"/>
  <c r="I50" i="86"/>
  <c r="C51" i="86"/>
  <c r="D51" i="86"/>
  <c r="E51" i="86"/>
  <c r="F51" i="86"/>
  <c r="G51" i="86"/>
  <c r="H51" i="86"/>
  <c r="I51" i="86"/>
  <c r="C52" i="86"/>
  <c r="D52" i="86"/>
  <c r="E52" i="86"/>
  <c r="F52" i="86"/>
  <c r="G52" i="86"/>
  <c r="H52" i="86"/>
  <c r="I52" i="86"/>
  <c r="C53" i="86"/>
  <c r="D53" i="86"/>
  <c r="E53" i="86"/>
  <c r="F53" i="86"/>
  <c r="G53" i="86"/>
  <c r="H53" i="86"/>
  <c r="I53" i="86"/>
  <c r="C54" i="86"/>
  <c r="D54" i="86"/>
  <c r="E54" i="86"/>
  <c r="F54" i="86"/>
  <c r="G54" i="86"/>
  <c r="H54" i="86"/>
  <c r="I54" i="86"/>
  <c r="C55" i="86"/>
  <c r="D55" i="86"/>
  <c r="E55" i="86"/>
  <c r="F55" i="86"/>
  <c r="G55" i="86"/>
  <c r="H55" i="86"/>
  <c r="I55" i="86"/>
  <c r="C56" i="86"/>
  <c r="D56" i="86"/>
  <c r="E56" i="86"/>
  <c r="F56" i="86"/>
  <c r="G56" i="86"/>
  <c r="H56" i="86"/>
  <c r="I56" i="86"/>
  <c r="C57" i="86"/>
  <c r="D57" i="86"/>
  <c r="E57" i="86"/>
  <c r="F57" i="86"/>
  <c r="G57" i="86"/>
  <c r="H57" i="86"/>
  <c r="I57" i="86"/>
  <c r="C58" i="86"/>
  <c r="D58" i="86"/>
  <c r="E58" i="86"/>
  <c r="F58" i="86"/>
  <c r="G58" i="86"/>
  <c r="H58" i="86"/>
  <c r="I58" i="86"/>
  <c r="C59" i="86"/>
  <c r="D59" i="86"/>
  <c r="E59" i="86"/>
  <c r="F59" i="86"/>
  <c r="G59" i="86"/>
  <c r="H59" i="86"/>
  <c r="I59" i="86"/>
  <c r="C60" i="86"/>
  <c r="D60" i="86"/>
  <c r="E60" i="86"/>
  <c r="F60" i="86"/>
  <c r="G60" i="86"/>
  <c r="H60" i="86"/>
  <c r="I60" i="86"/>
  <c r="C61" i="86"/>
  <c r="D61" i="86"/>
  <c r="E61" i="86"/>
  <c r="F61" i="86"/>
  <c r="G61" i="86"/>
  <c r="H61" i="86"/>
  <c r="I61" i="86"/>
  <c r="C62" i="86"/>
  <c r="D62" i="86"/>
  <c r="E62" i="86"/>
  <c r="F62" i="86"/>
  <c r="G62" i="86"/>
  <c r="H62" i="86"/>
  <c r="I62" i="86"/>
  <c r="C63" i="86"/>
  <c r="D63" i="86"/>
  <c r="E63" i="86"/>
  <c r="F63" i="86"/>
  <c r="G63" i="86"/>
  <c r="H63" i="86"/>
  <c r="I63" i="86"/>
  <c r="C64" i="86"/>
  <c r="D64" i="86"/>
  <c r="E64" i="86"/>
  <c r="F64" i="86"/>
  <c r="G64" i="86"/>
  <c r="H64" i="86"/>
  <c r="I64" i="86"/>
  <c r="C65" i="86"/>
  <c r="D65" i="86"/>
  <c r="E65" i="86"/>
  <c r="F65" i="86"/>
  <c r="G65" i="86"/>
  <c r="H65" i="86"/>
  <c r="I65" i="86"/>
  <c r="C66" i="86"/>
  <c r="D66" i="86"/>
  <c r="E66" i="86"/>
  <c r="F66" i="86"/>
  <c r="G66" i="86"/>
  <c r="H66" i="86"/>
  <c r="I66" i="86"/>
  <c r="C67" i="86"/>
  <c r="D67" i="86"/>
  <c r="E67" i="86"/>
  <c r="F67" i="86"/>
  <c r="G67" i="86"/>
  <c r="H67" i="86"/>
  <c r="I67" i="86"/>
  <c r="C68" i="86"/>
  <c r="D68" i="86"/>
  <c r="E68" i="86"/>
  <c r="F68" i="86"/>
  <c r="G68" i="86"/>
  <c r="H68" i="86"/>
  <c r="I68" i="86"/>
  <c r="C69" i="86"/>
  <c r="D69" i="86"/>
  <c r="E69" i="86"/>
  <c r="F69" i="86"/>
  <c r="G69" i="86"/>
  <c r="H69" i="86"/>
  <c r="I69" i="86"/>
  <c r="C70" i="86"/>
  <c r="D70" i="86"/>
  <c r="E70" i="86"/>
  <c r="F70" i="86"/>
  <c r="G70" i="86"/>
  <c r="H70" i="86"/>
  <c r="I70" i="86"/>
  <c r="C71" i="86"/>
  <c r="D71" i="86"/>
  <c r="E71" i="86"/>
  <c r="F71" i="86"/>
  <c r="G71" i="86"/>
  <c r="H71" i="86"/>
  <c r="I71" i="86"/>
  <c r="C72" i="86"/>
  <c r="D72" i="86"/>
  <c r="E72" i="86"/>
  <c r="F72" i="86"/>
  <c r="G72" i="86"/>
  <c r="H72" i="86"/>
  <c r="I72" i="86"/>
  <c r="C73" i="86"/>
  <c r="D73" i="86"/>
  <c r="E73" i="86"/>
  <c r="F73" i="86"/>
  <c r="G73" i="86"/>
  <c r="H73" i="86"/>
  <c r="I73" i="86"/>
  <c r="C74" i="86"/>
  <c r="D74" i="86"/>
  <c r="E74" i="86"/>
  <c r="F74" i="86"/>
  <c r="G74" i="86"/>
  <c r="H74" i="86"/>
  <c r="I74" i="86"/>
  <c r="C75" i="86"/>
  <c r="D75" i="86"/>
  <c r="E75" i="86"/>
  <c r="F75" i="86"/>
  <c r="G75" i="86"/>
  <c r="H75" i="86"/>
  <c r="I75" i="86"/>
  <c r="C76" i="86"/>
  <c r="D76" i="86"/>
  <c r="E76" i="86"/>
  <c r="F76" i="86"/>
  <c r="G76" i="86"/>
  <c r="H76" i="86"/>
  <c r="I76" i="86"/>
  <c r="C77" i="86"/>
  <c r="D77" i="86"/>
  <c r="E77" i="86"/>
  <c r="F77" i="86"/>
  <c r="G77" i="86"/>
  <c r="H77" i="86"/>
  <c r="I77" i="86"/>
  <c r="C78" i="86"/>
  <c r="D78" i="86"/>
  <c r="E78" i="86"/>
  <c r="F78" i="86"/>
  <c r="G78" i="86"/>
  <c r="H78" i="86"/>
  <c r="I78" i="86"/>
  <c r="C79" i="86"/>
  <c r="D79" i="86"/>
  <c r="E79" i="86"/>
  <c r="F79" i="86"/>
  <c r="G79" i="86"/>
  <c r="H79" i="86"/>
  <c r="I79" i="86"/>
  <c r="C80" i="86"/>
  <c r="D80" i="86"/>
  <c r="E80" i="86"/>
  <c r="F80" i="86"/>
  <c r="G80" i="86"/>
  <c r="H80" i="86"/>
  <c r="I80" i="86"/>
  <c r="C81" i="86"/>
  <c r="D81" i="86"/>
  <c r="E81" i="86"/>
  <c r="F81" i="86"/>
  <c r="G81" i="86"/>
  <c r="H81" i="86"/>
  <c r="I81" i="86"/>
  <c r="B45" i="86"/>
  <c r="B46" i="86"/>
  <c r="B47" i="86"/>
  <c r="B48" i="86"/>
  <c r="B49" i="86"/>
  <c r="B50" i="86"/>
  <c r="B51" i="86"/>
  <c r="B52" i="86"/>
  <c r="B53" i="86"/>
  <c r="B54" i="86"/>
  <c r="B55" i="86"/>
  <c r="B56" i="86"/>
  <c r="B57" i="86"/>
  <c r="B58" i="86"/>
  <c r="B59" i="86"/>
  <c r="B60" i="86"/>
  <c r="B61" i="86"/>
  <c r="B62" i="86"/>
  <c r="B63" i="86"/>
  <c r="B64" i="86"/>
  <c r="B65" i="86"/>
  <c r="B66" i="86"/>
  <c r="B67" i="86"/>
  <c r="B68" i="86"/>
  <c r="B69" i="86"/>
  <c r="B70" i="86"/>
  <c r="B71" i="86"/>
  <c r="B72" i="86"/>
  <c r="B73" i="86"/>
  <c r="B74" i="86"/>
  <c r="B75" i="86"/>
  <c r="B76" i="86"/>
  <c r="B77" i="86"/>
  <c r="B78" i="86"/>
  <c r="B79" i="86"/>
  <c r="B80" i="86"/>
  <c r="B81" i="86"/>
  <c r="B82" i="86"/>
  <c r="B83" i="86"/>
  <c r="O11" i="192"/>
  <c r="C38" i="87"/>
  <c r="C34" i="87"/>
  <c r="Z88" i="15"/>
  <c r="B44" i="12"/>
  <c r="C20" i="193"/>
  <c r="C20" i="195"/>
  <c r="C27" i="193"/>
  <c r="C27" i="195"/>
  <c r="C15" i="193"/>
  <c r="C15" i="195"/>
  <c r="C19" i="193"/>
  <c r="C19" i="195"/>
  <c r="C21" i="193"/>
  <c r="C21" i="195"/>
  <c r="C14" i="193"/>
  <c r="C14" i="195"/>
  <c r="C16" i="193"/>
  <c r="C16" i="195"/>
  <c r="C26" i="193"/>
  <c r="C26" i="195"/>
  <c r="C22" i="193"/>
  <c r="C22" i="195"/>
  <c r="C18" i="193"/>
  <c r="C18" i="195"/>
  <c r="C13" i="193"/>
  <c r="C13" i="195"/>
  <c r="C17" i="193"/>
  <c r="C23" i="193"/>
  <c r="C23" i="195"/>
  <c r="C24" i="193"/>
  <c r="C24" i="195"/>
  <c r="U11" i="184"/>
  <c r="K28" i="15"/>
  <c r="K50" i="15"/>
  <c r="O8" i="184"/>
  <c r="Y8" i="185"/>
  <c r="A15" i="188"/>
  <c r="E6" i="189"/>
  <c r="G15" i="188"/>
  <c r="E6" i="183"/>
  <c r="L15" i="188"/>
  <c r="S6" i="189"/>
  <c r="L15" i="182"/>
  <c r="S6" i="183"/>
  <c r="G10" i="190"/>
  <c r="A12" i="186"/>
  <c r="O11" i="184"/>
  <c r="A12" i="190"/>
  <c r="R19" i="182"/>
  <c r="G19" i="186"/>
  <c r="G19" i="190"/>
  <c r="I32" i="187"/>
  <c r="A8" i="182"/>
  <c r="G8" i="183"/>
  <c r="U10" i="184"/>
  <c r="O10" i="190"/>
  <c r="O12" i="190"/>
  <c r="F23" i="185"/>
  <c r="G19" i="188"/>
  <c r="F23" i="189"/>
  <c r="R19" i="188"/>
  <c r="I43" i="187"/>
  <c r="G10" i="184"/>
  <c r="A12" i="184"/>
  <c r="U10" i="190"/>
  <c r="G30" i="187"/>
  <c r="H34" i="187"/>
  <c r="G41" i="187"/>
  <c r="G45" i="187"/>
  <c r="M23" i="190"/>
  <c r="O10" i="186"/>
  <c r="H30" i="187"/>
  <c r="G36" i="187"/>
  <c r="H41" i="187"/>
  <c r="I45" i="187"/>
  <c r="H32" i="187"/>
  <c r="I36" i="187"/>
  <c r="I41" i="187"/>
  <c r="H48" i="187"/>
  <c r="I43" i="183"/>
  <c r="G32" i="189"/>
  <c r="I34" i="189"/>
  <c r="H39" i="189"/>
  <c r="H43" i="189"/>
  <c r="G48" i="189"/>
  <c r="I32" i="183"/>
  <c r="H41" i="183"/>
  <c r="G45" i="183"/>
  <c r="O12" i="186"/>
  <c r="G36" i="189"/>
  <c r="H48" i="189"/>
  <c r="H30" i="183"/>
  <c r="G34" i="183"/>
  <c r="G39" i="183"/>
  <c r="I41" i="183"/>
  <c r="H45" i="183"/>
  <c r="G30" i="189"/>
  <c r="I32" i="189"/>
  <c r="I36" i="189"/>
  <c r="H41" i="189"/>
  <c r="G45" i="189"/>
  <c r="H32" i="183"/>
  <c r="G36" i="183"/>
  <c r="I39" i="183"/>
  <c r="H48" i="183"/>
  <c r="G30" i="183"/>
  <c r="H36" i="183"/>
  <c r="I48" i="183"/>
  <c r="H32" i="189"/>
  <c r="G41" i="189"/>
  <c r="I43" i="189"/>
  <c r="I30" i="183"/>
  <c r="I34" i="183"/>
  <c r="H39" i="183"/>
  <c r="G43" i="183"/>
  <c r="G48" i="183"/>
  <c r="O8" i="186"/>
  <c r="Y8" i="187"/>
  <c r="O11" i="186"/>
  <c r="G32" i="187"/>
  <c r="I34" i="187"/>
  <c r="H39" i="187"/>
  <c r="H43" i="187"/>
  <c r="G48" i="187"/>
  <c r="H30" i="189"/>
  <c r="H34" i="189"/>
  <c r="G39" i="189"/>
  <c r="I41" i="189"/>
  <c r="I45" i="189"/>
  <c r="I30" i="185"/>
  <c r="H36" i="185"/>
  <c r="I39" i="185"/>
  <c r="G43" i="185"/>
  <c r="H45" i="185"/>
  <c r="I48" i="185"/>
  <c r="G30" i="185"/>
  <c r="H32" i="185"/>
  <c r="I34" i="185"/>
  <c r="G39" i="185"/>
  <c r="H41" i="185"/>
  <c r="I43" i="185"/>
  <c r="G48" i="185"/>
  <c r="I30" i="191"/>
  <c r="G34" i="191"/>
  <c r="H36" i="191"/>
  <c r="I39" i="191"/>
  <c r="G43" i="191"/>
  <c r="H45" i="191"/>
  <c r="I48" i="191"/>
  <c r="G32" i="183"/>
  <c r="H34" i="183"/>
  <c r="I36" i="183"/>
  <c r="G41" i="183"/>
  <c r="H43" i="183"/>
  <c r="H30" i="185"/>
  <c r="I32" i="185"/>
  <c r="G36" i="185"/>
  <c r="H39" i="185"/>
  <c r="I41" i="185"/>
  <c r="G45" i="185"/>
  <c r="H48" i="185"/>
  <c r="I30" i="187"/>
  <c r="G34" i="187"/>
  <c r="H36" i="187"/>
  <c r="I39" i="187"/>
  <c r="G43" i="187"/>
  <c r="H45" i="187"/>
  <c r="I30" i="189"/>
  <c r="G34" i="189"/>
  <c r="H36" i="189"/>
  <c r="I39" i="189"/>
  <c r="G43" i="189"/>
  <c r="H45" i="189"/>
  <c r="G32" i="191"/>
  <c r="H34" i="191"/>
  <c r="I36" i="191"/>
  <c r="G41" i="191"/>
  <c r="H43" i="191"/>
  <c r="I45" i="191"/>
  <c r="G30" i="191"/>
  <c r="H32" i="191"/>
  <c r="I34" i="191"/>
  <c r="G39" i="191"/>
  <c r="H41" i="191"/>
  <c r="I43" i="191"/>
  <c r="G48" i="191"/>
  <c r="G34" i="185"/>
  <c r="G32" i="185"/>
  <c r="H34" i="185"/>
  <c r="I36" i="185"/>
  <c r="G41" i="185"/>
  <c r="H43" i="185"/>
  <c r="H30" i="191"/>
  <c r="I32" i="191"/>
  <c r="G36" i="191"/>
  <c r="H39" i="191"/>
  <c r="I41" i="191"/>
  <c r="G45" i="191"/>
  <c r="G15" i="182"/>
  <c r="M23" i="182"/>
  <c r="L15" i="184"/>
  <c r="S6" i="185"/>
  <c r="G15" i="186"/>
  <c r="M23" i="186"/>
  <c r="S6" i="191"/>
  <c r="T15" i="184"/>
  <c r="A15" i="184"/>
  <c r="E6" i="185"/>
  <c r="A9" i="190"/>
  <c r="AB23" i="191"/>
  <c r="O11" i="190"/>
  <c r="M19" i="190"/>
  <c r="O9" i="190"/>
  <c r="A8" i="190"/>
  <c r="G8" i="191"/>
  <c r="A10" i="190"/>
  <c r="O8" i="188"/>
  <c r="Y8" i="189"/>
  <c r="O12" i="188"/>
  <c r="U10" i="188"/>
  <c r="A10" i="188"/>
  <c r="A12" i="188"/>
  <c r="A8" i="188"/>
  <c r="G8" i="189"/>
  <c r="G10" i="188"/>
  <c r="L6" i="185"/>
  <c r="A9" i="188"/>
  <c r="AB23" i="189"/>
  <c r="O10" i="188"/>
  <c r="O11" i="188"/>
  <c r="M19" i="188"/>
  <c r="O9" i="188"/>
  <c r="A9" i="186"/>
  <c r="AB23" i="187"/>
  <c r="O9" i="186"/>
  <c r="A8" i="186"/>
  <c r="G8" i="187"/>
  <c r="A10" i="186"/>
  <c r="O10" i="184"/>
  <c r="A9" i="184"/>
  <c r="AB23" i="185"/>
  <c r="O9" i="184"/>
  <c r="A8" i="184"/>
  <c r="G8" i="185"/>
  <c r="A10" i="184"/>
  <c r="A10" i="182"/>
  <c r="A12" i="182"/>
  <c r="O8" i="182"/>
  <c r="Y8" i="183"/>
  <c r="G19" i="182"/>
  <c r="F23" i="183"/>
  <c r="O9" i="182"/>
  <c r="A9" i="182"/>
  <c r="AB23" i="183"/>
  <c r="O10" i="182"/>
  <c r="M19" i="182"/>
  <c r="AG80" i="87"/>
  <c r="AG78" i="87"/>
  <c r="L32" i="87"/>
  <c r="L16" i="87"/>
  <c r="Z92" i="87"/>
  <c r="AG56" i="87"/>
  <c r="F14" i="87"/>
  <c r="A1" i="88"/>
  <c r="A4" i="88"/>
  <c r="A7" i="88"/>
  <c r="A10" i="88"/>
  <c r="A13" i="88"/>
  <c r="A16" i="88"/>
  <c r="A19" i="88"/>
  <c r="A22" i="88"/>
  <c r="A25" i="88"/>
  <c r="A28" i="88"/>
  <c r="A31" i="88"/>
  <c r="A34" i="88"/>
  <c r="A37" i="88"/>
  <c r="A40" i="88"/>
  <c r="A43" i="88"/>
  <c r="A46" i="88"/>
  <c r="A49" i="88"/>
  <c r="A52" i="88"/>
  <c r="A55" i="88"/>
  <c r="A58" i="88"/>
  <c r="A61" i="88"/>
  <c r="B10" i="88"/>
  <c r="B13" i="88"/>
  <c r="I93" i="181"/>
  <c r="B28" i="88"/>
  <c r="B34" i="88"/>
  <c r="B37" i="88"/>
  <c r="B40" i="88"/>
  <c r="B43" i="88"/>
  <c r="B46" i="88"/>
  <c r="B49" i="88"/>
  <c r="B52" i="88"/>
  <c r="K34" i="15"/>
  <c r="B58" i="88"/>
  <c r="B61" i="88"/>
  <c r="A11" i="171"/>
  <c r="G11" i="192"/>
  <c r="A2" i="12"/>
  <c r="C45" i="12"/>
  <c r="E47" i="12"/>
  <c r="C1" i="15"/>
  <c r="C45" i="86"/>
  <c r="D45" i="86"/>
  <c r="E45" i="86"/>
  <c r="F45" i="86"/>
  <c r="G45" i="86"/>
  <c r="H45" i="86"/>
  <c r="I45" i="86"/>
  <c r="S47" i="92"/>
  <c r="H1" i="92"/>
  <c r="K29" i="15"/>
  <c r="E13" i="195"/>
  <c r="K30" i="15"/>
  <c r="K32" i="15"/>
  <c r="K39" i="15"/>
  <c r="K42" i="15"/>
  <c r="L22" i="87"/>
  <c r="L26" i="87"/>
  <c r="L28" i="87"/>
  <c r="L34" i="87"/>
  <c r="I34" i="87"/>
  <c r="L45" i="87"/>
  <c r="L81" i="87"/>
  <c r="L83" i="87"/>
  <c r="L99" i="87"/>
  <c r="L101" i="87"/>
  <c r="H73" i="15"/>
  <c r="K73" i="15"/>
  <c r="H74" i="15"/>
  <c r="K74" i="15"/>
  <c r="H83" i="15"/>
  <c r="K83" i="15"/>
  <c r="U43" i="92"/>
  <c r="O6" i="178"/>
  <c r="O8" i="178"/>
  <c r="Z8" i="179"/>
  <c r="A6" i="178"/>
  <c r="A10" i="178"/>
  <c r="R16" i="178"/>
  <c r="R19" i="178"/>
  <c r="AB23" i="179"/>
  <c r="V86" i="15"/>
  <c r="V58" i="15"/>
  <c r="V44" i="15"/>
  <c r="V22" i="15"/>
  <c r="V78" i="15"/>
  <c r="AG80" i="181"/>
  <c r="AG78" i="181"/>
  <c r="AG31" i="181"/>
  <c r="AG29" i="181"/>
  <c r="L101" i="181"/>
  <c r="H101" i="181"/>
  <c r="AB99" i="181"/>
  <c r="L99" i="181"/>
  <c r="F38" i="87"/>
  <c r="F40" i="87"/>
  <c r="K11" i="15"/>
  <c r="S98" i="181"/>
  <c r="S96" i="181"/>
  <c r="L93" i="181"/>
  <c r="L95" i="181"/>
  <c r="H95" i="181"/>
  <c r="I95" i="181"/>
  <c r="Z92" i="181"/>
  <c r="Z90" i="181"/>
  <c r="S84" i="181"/>
  <c r="S86" i="181"/>
  <c r="L81" i="181"/>
  <c r="L83" i="181"/>
  <c r="H83" i="181"/>
  <c r="L89" i="181"/>
  <c r="H89" i="181"/>
  <c r="L87" i="181"/>
  <c r="H81" i="181"/>
  <c r="Z66" i="181"/>
  <c r="Z68" i="181"/>
  <c r="S72" i="181"/>
  <c r="S74" i="181"/>
  <c r="L69" i="181"/>
  <c r="L71" i="181"/>
  <c r="H71" i="181"/>
  <c r="L77" i="181"/>
  <c r="H77" i="181"/>
  <c r="I77" i="181"/>
  <c r="L75" i="181"/>
  <c r="H75" i="181"/>
  <c r="H69" i="181"/>
  <c r="S62" i="181"/>
  <c r="L63" i="181"/>
  <c r="L65" i="181"/>
  <c r="H65" i="181"/>
  <c r="F65" i="181"/>
  <c r="K15" i="15"/>
  <c r="C65" i="181"/>
  <c r="F63" i="181"/>
  <c r="H15" i="15"/>
  <c r="C63" i="181"/>
  <c r="L59" i="181"/>
  <c r="H59" i="181"/>
  <c r="F59" i="181"/>
  <c r="K14" i="15"/>
  <c r="C59" i="181"/>
  <c r="H57" i="181"/>
  <c r="I57" i="181"/>
  <c r="F57" i="181"/>
  <c r="H14" i="15"/>
  <c r="C57" i="181"/>
  <c r="L8" i="181"/>
  <c r="L10" i="181"/>
  <c r="S11" i="181"/>
  <c r="S13" i="181"/>
  <c r="Z17" i="181"/>
  <c r="Z19" i="181"/>
  <c r="L53" i="181"/>
  <c r="H53" i="181"/>
  <c r="F53" i="181"/>
  <c r="K13" i="15"/>
  <c r="C53" i="181"/>
  <c r="L51" i="181"/>
  <c r="H51" i="181"/>
  <c r="F51" i="181"/>
  <c r="H13" i="15"/>
  <c r="C51" i="181"/>
  <c r="S50" i="181"/>
  <c r="S48" i="181"/>
  <c r="L45" i="181"/>
  <c r="L47" i="181"/>
  <c r="H47" i="181"/>
  <c r="I47" i="181"/>
  <c r="F47" i="181"/>
  <c r="K12" i="15"/>
  <c r="C47" i="181"/>
  <c r="AB46" i="181"/>
  <c r="H45" i="181"/>
  <c r="I45" i="181"/>
  <c r="F45" i="181"/>
  <c r="H12" i="15"/>
  <c r="C45" i="181"/>
  <c r="Z44" i="181"/>
  <c r="Z42" i="181"/>
  <c r="AF41" i="181"/>
  <c r="AC41" i="181"/>
  <c r="L40" i="181"/>
  <c r="H40" i="181"/>
  <c r="F40" i="181"/>
  <c r="L38" i="181"/>
  <c r="H38" i="181"/>
  <c r="F38" i="181"/>
  <c r="S37" i="181"/>
  <c r="S35" i="181"/>
  <c r="L32" i="181"/>
  <c r="L34" i="181"/>
  <c r="H32" i="181"/>
  <c r="H34" i="181"/>
  <c r="I34" i="181"/>
  <c r="F34" i="181"/>
  <c r="C32" i="181"/>
  <c r="L28" i="181"/>
  <c r="H28" i="181"/>
  <c r="F28" i="181"/>
  <c r="C28" i="181"/>
  <c r="L26" i="181"/>
  <c r="H26" i="181"/>
  <c r="F26" i="181"/>
  <c r="C26" i="181"/>
  <c r="S25" i="181"/>
  <c r="S23" i="181"/>
  <c r="L20" i="181"/>
  <c r="L22" i="181"/>
  <c r="H22" i="181"/>
  <c r="F22" i="181"/>
  <c r="C22" i="181"/>
  <c r="I20" i="181"/>
  <c r="F20" i="181"/>
  <c r="C20" i="181"/>
  <c r="L16" i="181"/>
  <c r="H16" i="181"/>
  <c r="F16" i="181"/>
  <c r="F26" i="87"/>
  <c r="C14" i="181"/>
  <c r="F10" i="181"/>
  <c r="AF4" i="181"/>
  <c r="AC4" i="181"/>
  <c r="Y4" i="181"/>
  <c r="V4" i="181"/>
  <c r="R4" i="181"/>
  <c r="O4" i="181"/>
  <c r="K4" i="181"/>
  <c r="G4" i="181"/>
  <c r="E4" i="181"/>
  <c r="B4" i="181"/>
  <c r="A1" i="181"/>
  <c r="G34" i="171"/>
  <c r="H30" i="170"/>
  <c r="H32" i="170"/>
  <c r="H34" i="170"/>
  <c r="H36" i="170"/>
  <c r="H39" i="170"/>
  <c r="H41" i="170"/>
  <c r="H43" i="170"/>
  <c r="H45" i="170"/>
  <c r="H48" i="170"/>
  <c r="Y27" i="171"/>
  <c r="C16" i="171"/>
  <c r="M19" i="171"/>
  <c r="O6" i="171"/>
  <c r="G34" i="172"/>
  <c r="L16" i="178"/>
  <c r="J19" i="178"/>
  <c r="R23" i="179"/>
  <c r="AI6" i="179"/>
  <c r="C13" i="178"/>
  <c r="G15" i="178"/>
  <c r="M6" i="179"/>
  <c r="F5" i="178"/>
  <c r="F6" i="179"/>
  <c r="E1" i="178"/>
  <c r="H1" i="179"/>
  <c r="C16" i="178"/>
  <c r="A19" i="178"/>
  <c r="H23" i="179"/>
  <c r="U85" i="15"/>
  <c r="U11" i="178"/>
  <c r="I8" i="178"/>
  <c r="O5" i="178"/>
  <c r="C61" i="15"/>
  <c r="C70" i="15"/>
  <c r="L15" i="172"/>
  <c r="S6" i="180"/>
  <c r="C16" i="164"/>
  <c r="M19" i="164"/>
  <c r="O6" i="172"/>
  <c r="O11" i="172"/>
  <c r="A6" i="172"/>
  <c r="A8" i="172"/>
  <c r="G8" i="180"/>
  <c r="A5" i="172"/>
  <c r="AD4" i="180"/>
  <c r="AE58" i="180"/>
  <c r="C13" i="152"/>
  <c r="E1" i="19"/>
  <c r="AF59" i="179"/>
  <c r="X47" i="178"/>
  <c r="O6" i="168"/>
  <c r="U11" i="168"/>
  <c r="A6" i="168"/>
  <c r="A10" i="168"/>
  <c r="X48" i="172"/>
  <c r="G19" i="172"/>
  <c r="U11" i="172"/>
  <c r="O5" i="172"/>
  <c r="F5" i="172"/>
  <c r="D2" i="172"/>
  <c r="E1" i="172"/>
  <c r="X48" i="171"/>
  <c r="A12" i="171"/>
  <c r="G8" i="170"/>
  <c r="O5" i="171"/>
  <c r="F5" i="171"/>
  <c r="A5" i="171"/>
  <c r="AD4" i="170"/>
  <c r="D2" i="171"/>
  <c r="E1" i="171"/>
  <c r="AE58" i="170"/>
  <c r="AE58" i="169"/>
  <c r="A5" i="168"/>
  <c r="AD4" i="169"/>
  <c r="X48" i="168"/>
  <c r="O5" i="168"/>
  <c r="F5" i="168"/>
  <c r="D2" i="168"/>
  <c r="E1" i="168"/>
  <c r="Y27" i="166"/>
  <c r="C13" i="166"/>
  <c r="C13" i="164"/>
  <c r="A15" i="164"/>
  <c r="R19" i="164"/>
  <c r="O6" i="166"/>
  <c r="O10" i="166"/>
  <c r="A6" i="166"/>
  <c r="G10" i="166"/>
  <c r="AE58" i="167"/>
  <c r="G34" i="166"/>
  <c r="M19" i="166"/>
  <c r="A5" i="166"/>
  <c r="AD4" i="167"/>
  <c r="X48" i="166"/>
  <c r="O5" i="166"/>
  <c r="F5" i="166"/>
  <c r="D2" i="166"/>
  <c r="E1" i="166"/>
  <c r="A5" i="164"/>
  <c r="AD4" i="165"/>
  <c r="G34" i="164"/>
  <c r="G30" i="165"/>
  <c r="G32" i="165"/>
  <c r="G34" i="165"/>
  <c r="G36" i="165"/>
  <c r="G39" i="165"/>
  <c r="G41" i="165"/>
  <c r="G43" i="165"/>
  <c r="G45" i="165"/>
  <c r="G48" i="165"/>
  <c r="Y27" i="164"/>
  <c r="G15" i="164"/>
  <c r="M23" i="164"/>
  <c r="O6" i="164"/>
  <c r="O9" i="164"/>
  <c r="A9" i="164"/>
  <c r="AB23" i="165"/>
  <c r="L51" i="87"/>
  <c r="L53" i="87"/>
  <c r="A5" i="162"/>
  <c r="AD4" i="163"/>
  <c r="Y27" i="162"/>
  <c r="C16" i="162"/>
  <c r="G19" i="162"/>
  <c r="G34" i="162"/>
  <c r="O6" i="162"/>
  <c r="O10" i="162"/>
  <c r="A6" i="162"/>
  <c r="A9" i="162"/>
  <c r="AB23" i="163"/>
  <c r="G34" i="155"/>
  <c r="H48" i="156"/>
  <c r="O6" i="155"/>
  <c r="O8" i="155"/>
  <c r="Y8" i="156"/>
  <c r="A6" i="155"/>
  <c r="G10" i="155"/>
  <c r="C16" i="155"/>
  <c r="C16" i="152"/>
  <c r="G19" i="152"/>
  <c r="AE58" i="165"/>
  <c r="X48" i="164"/>
  <c r="U11" i="164"/>
  <c r="O5" i="164"/>
  <c r="F5" i="164"/>
  <c r="D2" i="164"/>
  <c r="E1" i="164"/>
  <c r="AE58" i="163"/>
  <c r="X48" i="162"/>
  <c r="U11" i="162"/>
  <c r="O5" i="162"/>
  <c r="F5" i="162"/>
  <c r="D2" i="162"/>
  <c r="E1" i="162"/>
  <c r="C16" i="158"/>
  <c r="G19" i="158"/>
  <c r="A6" i="160"/>
  <c r="A6" i="158"/>
  <c r="A10" i="158"/>
  <c r="O6" i="158"/>
  <c r="O8" i="158"/>
  <c r="Y8" i="159"/>
  <c r="C16" i="145"/>
  <c r="M23" i="145"/>
  <c r="G34" i="160"/>
  <c r="G30" i="161"/>
  <c r="G32" i="161"/>
  <c r="G34" i="161"/>
  <c r="G36" i="161"/>
  <c r="G39" i="161"/>
  <c r="G41" i="161"/>
  <c r="G43" i="161"/>
  <c r="G45" i="161"/>
  <c r="G48" i="161"/>
  <c r="C16" i="160"/>
  <c r="M19" i="160"/>
  <c r="M23" i="154"/>
  <c r="C16" i="154"/>
  <c r="A19" i="154"/>
  <c r="G19" i="148"/>
  <c r="C13" i="148"/>
  <c r="G10" i="171"/>
  <c r="A9" i="168"/>
  <c r="AB23" i="169"/>
  <c r="A8" i="168"/>
  <c r="G8" i="169"/>
  <c r="A12" i="168"/>
  <c r="O12" i="164"/>
  <c r="A12" i="162"/>
  <c r="O6" i="160"/>
  <c r="O8" i="160"/>
  <c r="Y8" i="161"/>
  <c r="Y27" i="160"/>
  <c r="Y27" i="155"/>
  <c r="O6" i="154"/>
  <c r="O12" i="154"/>
  <c r="A6" i="154"/>
  <c r="Y27" i="154"/>
  <c r="Y27" i="152"/>
  <c r="L59" i="87"/>
  <c r="C16" i="150"/>
  <c r="T15" i="150"/>
  <c r="R19" i="152"/>
  <c r="A19" i="152"/>
  <c r="M19" i="152"/>
  <c r="G34" i="152"/>
  <c r="G48" i="157"/>
  <c r="A10" i="152"/>
  <c r="T15" i="152"/>
  <c r="G34" i="158"/>
  <c r="I48" i="159"/>
  <c r="Y27" i="158"/>
  <c r="Y5" i="148"/>
  <c r="AE58" i="161"/>
  <c r="X48" i="160"/>
  <c r="U11" i="160"/>
  <c r="O5" i="160"/>
  <c r="F5" i="160"/>
  <c r="A5" i="160"/>
  <c r="D2" i="160"/>
  <c r="E1" i="160"/>
  <c r="AE58" i="159"/>
  <c r="X48" i="158"/>
  <c r="U10" i="158"/>
  <c r="O5" i="158"/>
  <c r="F5" i="158"/>
  <c r="A5" i="158"/>
  <c r="D2" i="158"/>
  <c r="E1" i="158"/>
  <c r="AE58" i="157"/>
  <c r="H43" i="157"/>
  <c r="I34" i="157"/>
  <c r="G32" i="157"/>
  <c r="AE58" i="156"/>
  <c r="X48" i="155"/>
  <c r="O11" i="155"/>
  <c r="O5" i="155"/>
  <c r="F5" i="155"/>
  <c r="A5" i="155"/>
  <c r="D2" i="155"/>
  <c r="E1" i="155"/>
  <c r="X48" i="154"/>
  <c r="O5" i="154"/>
  <c r="F5" i="154"/>
  <c r="A5" i="154"/>
  <c r="D2" i="154"/>
  <c r="E1" i="154"/>
  <c r="G34" i="148"/>
  <c r="I36" i="149"/>
  <c r="Y27" i="148"/>
  <c r="O6" i="148"/>
  <c r="U10" i="148"/>
  <c r="G34" i="145"/>
  <c r="H48" i="146"/>
  <c r="I48" i="146"/>
  <c r="G34" i="134"/>
  <c r="G30" i="135"/>
  <c r="G34" i="140"/>
  <c r="G30" i="141"/>
  <c r="Y27" i="145"/>
  <c r="E6" i="146"/>
  <c r="O10" i="145"/>
  <c r="A9" i="145"/>
  <c r="AB23" i="146"/>
  <c r="G34" i="150"/>
  <c r="I48" i="151"/>
  <c r="Y27" i="150"/>
  <c r="A15" i="150"/>
  <c r="E6" i="151"/>
  <c r="O6" i="150"/>
  <c r="O10" i="150"/>
  <c r="A6" i="150"/>
  <c r="A12" i="150"/>
  <c r="A2" i="148"/>
  <c r="A2" i="150"/>
  <c r="A5" i="150"/>
  <c r="AD4" i="151"/>
  <c r="A5" i="148"/>
  <c r="AD4" i="149"/>
  <c r="Y5" i="145"/>
  <c r="AE57" i="153"/>
  <c r="X48" i="152"/>
  <c r="O12" i="152"/>
  <c r="A12" i="152"/>
  <c r="U11" i="152"/>
  <c r="G10" i="152"/>
  <c r="Y8" i="157"/>
  <c r="A8" i="152"/>
  <c r="G8" i="157"/>
  <c r="U10" i="152"/>
  <c r="O5" i="152"/>
  <c r="F5" i="152"/>
  <c r="A5" i="152"/>
  <c r="AD4" i="156"/>
  <c r="D2" i="152"/>
  <c r="E1" i="152"/>
  <c r="AE58" i="151"/>
  <c r="H39" i="151"/>
  <c r="G1" i="151"/>
  <c r="X48" i="150"/>
  <c r="U11" i="150"/>
  <c r="E1" i="150"/>
  <c r="AE58" i="149"/>
  <c r="X48" i="148"/>
  <c r="O10" i="148"/>
  <c r="O5" i="148"/>
  <c r="E1" i="148"/>
  <c r="AE58" i="146"/>
  <c r="I41" i="146"/>
  <c r="G39" i="146"/>
  <c r="G32" i="146"/>
  <c r="AH6" i="146"/>
  <c r="G1" i="146"/>
  <c r="X48" i="145"/>
  <c r="U11" i="145"/>
  <c r="O5" i="145"/>
  <c r="F5" i="145"/>
  <c r="A5" i="145"/>
  <c r="AD4" i="146"/>
  <c r="D2" i="145"/>
  <c r="E1" i="145"/>
  <c r="O10" i="155"/>
  <c r="O12" i="155"/>
  <c r="U11" i="155"/>
  <c r="G48" i="146"/>
  <c r="U11" i="148"/>
  <c r="H30" i="157"/>
  <c r="A9" i="152"/>
  <c r="AB23" i="153"/>
  <c r="H43" i="159"/>
  <c r="G30" i="159"/>
  <c r="H32" i="159"/>
  <c r="I34" i="159"/>
  <c r="G39" i="159"/>
  <c r="H41" i="159"/>
  <c r="I43" i="159"/>
  <c r="G48" i="159"/>
  <c r="G32" i="159"/>
  <c r="H34" i="159"/>
  <c r="I36" i="159"/>
  <c r="G41" i="159"/>
  <c r="I45" i="159"/>
  <c r="H30" i="159"/>
  <c r="I32" i="159"/>
  <c r="G36" i="159"/>
  <c r="H39" i="159"/>
  <c r="I41" i="159"/>
  <c r="G45" i="159"/>
  <c r="H48" i="159"/>
  <c r="I30" i="159"/>
  <c r="G34" i="159"/>
  <c r="H36" i="159"/>
  <c r="I39" i="159"/>
  <c r="G43" i="159"/>
  <c r="H45" i="159"/>
  <c r="G10" i="154"/>
  <c r="H34" i="151"/>
  <c r="G39" i="151"/>
  <c r="O5" i="150"/>
  <c r="D2" i="150"/>
  <c r="F5" i="148"/>
  <c r="F5" i="150"/>
  <c r="D2" i="148"/>
  <c r="O10" i="152"/>
  <c r="O9" i="152"/>
  <c r="C88" i="15"/>
  <c r="H88" i="15"/>
  <c r="U91" i="15"/>
  <c r="K91" i="15"/>
  <c r="H91" i="15"/>
  <c r="H80" i="15"/>
  <c r="C80" i="15"/>
  <c r="U87" i="15"/>
  <c r="K87" i="15"/>
  <c r="H87" i="15"/>
  <c r="U84" i="15"/>
  <c r="U83" i="15"/>
  <c r="K61" i="15"/>
  <c r="H61" i="15"/>
  <c r="U68" i="15"/>
  <c r="H68" i="15"/>
  <c r="K70" i="15"/>
  <c r="H70" i="15"/>
  <c r="U79" i="15"/>
  <c r="K79" i="15"/>
  <c r="H79" i="15"/>
  <c r="U78" i="15"/>
  <c r="K78" i="15"/>
  <c r="H78" i="15"/>
  <c r="U77" i="15"/>
  <c r="K77" i="15"/>
  <c r="H77" i="15"/>
  <c r="U76" i="15"/>
  <c r="K76" i="15"/>
  <c r="H76" i="15"/>
  <c r="U75" i="15"/>
  <c r="U74" i="15"/>
  <c r="U73" i="15"/>
  <c r="C16" i="90"/>
  <c r="M19" i="90"/>
  <c r="K47" i="15"/>
  <c r="H47" i="15"/>
  <c r="H25" i="15"/>
  <c r="S98" i="87"/>
  <c r="S96" i="87"/>
  <c r="A6" i="148"/>
  <c r="A9" i="148"/>
  <c r="AB23" i="149"/>
  <c r="C25" i="15"/>
  <c r="T48" i="92"/>
  <c r="C13" i="114"/>
  <c r="T15" i="114"/>
  <c r="C13" i="116"/>
  <c r="T15" i="116"/>
  <c r="G15" i="116"/>
  <c r="M23" i="116"/>
  <c r="A15" i="116"/>
  <c r="E6" i="117"/>
  <c r="Y27" i="140"/>
  <c r="C16" i="140"/>
  <c r="M19" i="140"/>
  <c r="O6" i="140"/>
  <c r="O9" i="140"/>
  <c r="A6" i="140"/>
  <c r="AE57" i="141"/>
  <c r="I39" i="141"/>
  <c r="AH6" i="141"/>
  <c r="A5" i="140"/>
  <c r="AD4" i="141"/>
  <c r="G1" i="141"/>
  <c r="X48" i="140"/>
  <c r="U11" i="140"/>
  <c r="O5" i="140"/>
  <c r="F5" i="140"/>
  <c r="D2" i="140"/>
  <c r="E1" i="140"/>
  <c r="G34" i="138"/>
  <c r="G34" i="139"/>
  <c r="Y27" i="138"/>
  <c r="G19" i="138"/>
  <c r="C13" i="138"/>
  <c r="O12" i="138"/>
  <c r="A6" i="138"/>
  <c r="A9" i="138"/>
  <c r="AB23" i="139"/>
  <c r="AE60" i="139"/>
  <c r="AH6" i="139"/>
  <c r="A5" i="138"/>
  <c r="AD4" i="139"/>
  <c r="X48" i="138"/>
  <c r="O5" i="138"/>
  <c r="F5" i="138"/>
  <c r="D2" i="138"/>
  <c r="E1" i="138"/>
  <c r="G34" i="136"/>
  <c r="I39" i="137"/>
  <c r="Y27" i="136"/>
  <c r="C16" i="136"/>
  <c r="R19" i="136"/>
  <c r="A6" i="136"/>
  <c r="O6" i="136"/>
  <c r="O12" i="136"/>
  <c r="M23" i="136"/>
  <c r="AE58" i="137"/>
  <c r="H30" i="137"/>
  <c r="AH6" i="137"/>
  <c r="A5" i="136"/>
  <c r="AD4" i="137"/>
  <c r="X48" i="136"/>
  <c r="F30" i="136"/>
  <c r="S6" i="137"/>
  <c r="E6" i="137"/>
  <c r="U11" i="136"/>
  <c r="O5" i="136"/>
  <c r="F5" i="136"/>
  <c r="D2" i="136"/>
  <c r="E1" i="136"/>
  <c r="C16" i="134"/>
  <c r="R19" i="134"/>
  <c r="Y27" i="134"/>
  <c r="C13" i="134"/>
  <c r="O6" i="134"/>
  <c r="U10" i="134"/>
  <c r="A6" i="134"/>
  <c r="A8" i="134"/>
  <c r="G8" i="135"/>
  <c r="AE58" i="135"/>
  <c r="AH6" i="135"/>
  <c r="A5" i="134"/>
  <c r="AD4" i="135"/>
  <c r="X48" i="134"/>
  <c r="F30" i="134"/>
  <c r="A15" i="134"/>
  <c r="E6" i="135"/>
  <c r="U11" i="134"/>
  <c r="O5" i="134"/>
  <c r="F5" i="134"/>
  <c r="D2" i="134"/>
  <c r="E1" i="134"/>
  <c r="G34" i="132"/>
  <c r="H43" i="133"/>
  <c r="C16" i="132"/>
  <c r="G19" i="132"/>
  <c r="Y27" i="132"/>
  <c r="C13" i="132"/>
  <c r="T15" i="132"/>
  <c r="O6" i="132"/>
  <c r="O8" i="132"/>
  <c r="Y8" i="133"/>
  <c r="A6" i="132"/>
  <c r="A12" i="132"/>
  <c r="AE57" i="133"/>
  <c r="AH6" i="133"/>
  <c r="A5" i="132"/>
  <c r="AD4" i="133"/>
  <c r="X48" i="132"/>
  <c r="F30" i="132"/>
  <c r="O5" i="132"/>
  <c r="F5" i="132"/>
  <c r="D2" i="132"/>
  <c r="E1" i="132"/>
  <c r="G34" i="130"/>
  <c r="G41" i="131"/>
  <c r="Y27" i="130"/>
  <c r="C16" i="130"/>
  <c r="E6" i="131"/>
  <c r="O6" i="130"/>
  <c r="O10" i="130"/>
  <c r="A6" i="130"/>
  <c r="A10" i="130"/>
  <c r="AE58" i="131"/>
  <c r="AH6" i="131"/>
  <c r="A5" i="130"/>
  <c r="AD4" i="131"/>
  <c r="X47" i="130"/>
  <c r="F30" i="130"/>
  <c r="O5" i="130"/>
  <c r="F5" i="130"/>
  <c r="D2" i="130"/>
  <c r="E1" i="130"/>
  <c r="C16" i="128"/>
  <c r="G34" i="128"/>
  <c r="I45" i="129"/>
  <c r="Y27" i="128"/>
  <c r="C13" i="128"/>
  <c r="A15" i="128"/>
  <c r="E6" i="129"/>
  <c r="O6" i="128"/>
  <c r="U10" i="128"/>
  <c r="A6" i="128"/>
  <c r="AE58" i="129"/>
  <c r="AH6" i="129"/>
  <c r="A5" i="128"/>
  <c r="AD4" i="129"/>
  <c r="X48" i="128"/>
  <c r="F30" i="128"/>
  <c r="O5" i="128"/>
  <c r="F5" i="128"/>
  <c r="D2" i="128"/>
  <c r="E1" i="128"/>
  <c r="C13" i="126"/>
  <c r="G34" i="126"/>
  <c r="G39" i="127"/>
  <c r="Y27" i="126"/>
  <c r="C16" i="126"/>
  <c r="A19" i="126"/>
  <c r="G10" i="126"/>
  <c r="AE60" i="127"/>
  <c r="H32" i="127"/>
  <c r="AH6" i="127"/>
  <c r="A5" i="126"/>
  <c r="AD4" i="127"/>
  <c r="X48" i="126"/>
  <c r="F30" i="126"/>
  <c r="O5" i="126"/>
  <c r="F5" i="126"/>
  <c r="D2" i="126"/>
  <c r="E1" i="126"/>
  <c r="C16" i="124"/>
  <c r="M19" i="124"/>
  <c r="G34" i="124"/>
  <c r="H30" i="125"/>
  <c r="I48" i="125"/>
  <c r="Y27" i="124"/>
  <c r="U10" i="124"/>
  <c r="A6" i="124"/>
  <c r="A12" i="124"/>
  <c r="AE60" i="125"/>
  <c r="H39" i="125"/>
  <c r="I34" i="125"/>
  <c r="AH6" i="125"/>
  <c r="A5" i="124"/>
  <c r="AD4" i="125"/>
  <c r="X48" i="124"/>
  <c r="F30" i="124"/>
  <c r="O5" i="124"/>
  <c r="F5" i="124"/>
  <c r="D2" i="124"/>
  <c r="E1" i="124"/>
  <c r="C16" i="122"/>
  <c r="A19" i="122"/>
  <c r="G34" i="122"/>
  <c r="G39" i="123"/>
  <c r="Y27" i="122"/>
  <c r="C13" i="122"/>
  <c r="A6" i="122"/>
  <c r="O6" i="122"/>
  <c r="O8" i="122"/>
  <c r="Y8" i="123"/>
  <c r="U11" i="122"/>
  <c r="AE60" i="123"/>
  <c r="AH6" i="123"/>
  <c r="A5" i="122"/>
  <c r="AD4" i="123"/>
  <c r="G1" i="123"/>
  <c r="X48" i="122"/>
  <c r="F30" i="122"/>
  <c r="O5" i="122"/>
  <c r="F5" i="122"/>
  <c r="D2" i="122"/>
  <c r="E1" i="122"/>
  <c r="C16" i="120"/>
  <c r="G19" i="120"/>
  <c r="G34" i="120"/>
  <c r="Y27" i="120"/>
  <c r="O6" i="120"/>
  <c r="A6" i="120"/>
  <c r="A10" i="120"/>
  <c r="AE58" i="121"/>
  <c r="AH6" i="121"/>
  <c r="A5" i="120"/>
  <c r="AD4" i="121"/>
  <c r="X48" i="120"/>
  <c r="F30" i="120"/>
  <c r="E6" i="121"/>
  <c r="U11" i="120"/>
  <c r="O5" i="120"/>
  <c r="F5" i="120"/>
  <c r="D2" i="120"/>
  <c r="E1" i="120"/>
  <c r="M23" i="118"/>
  <c r="Y27" i="118"/>
  <c r="G34" i="118"/>
  <c r="I41" i="119"/>
  <c r="C16" i="118"/>
  <c r="M19" i="118"/>
  <c r="O6" i="118"/>
  <c r="O12" i="118"/>
  <c r="A6" i="118"/>
  <c r="AE59" i="119"/>
  <c r="AH6" i="119"/>
  <c r="A5" i="118"/>
  <c r="AD4" i="119"/>
  <c r="X48" i="118"/>
  <c r="F30" i="118"/>
  <c r="O5" i="118"/>
  <c r="F5" i="118"/>
  <c r="D2" i="118"/>
  <c r="E1" i="118"/>
  <c r="C13" i="112"/>
  <c r="L15" i="112"/>
  <c r="S6" i="113"/>
  <c r="O10" i="112"/>
  <c r="G34" i="90"/>
  <c r="H30" i="91"/>
  <c r="H32" i="91"/>
  <c r="H34" i="91"/>
  <c r="H36" i="91"/>
  <c r="H39" i="91"/>
  <c r="H41" i="91"/>
  <c r="H43" i="91"/>
  <c r="H45" i="91"/>
  <c r="H48" i="91"/>
  <c r="Y27" i="90"/>
  <c r="S6" i="91"/>
  <c r="AH6" i="91"/>
  <c r="G34" i="116"/>
  <c r="H39" i="117"/>
  <c r="Y27" i="116"/>
  <c r="C16" i="116"/>
  <c r="A19" i="116"/>
  <c r="O6" i="116"/>
  <c r="AE57" i="117"/>
  <c r="A5" i="116"/>
  <c r="AD4" i="117"/>
  <c r="G1" i="117"/>
  <c r="X48" i="116"/>
  <c r="F30" i="116"/>
  <c r="O5" i="116"/>
  <c r="F5" i="116"/>
  <c r="D2" i="116"/>
  <c r="E1" i="116"/>
  <c r="C16" i="114"/>
  <c r="G34" i="114"/>
  <c r="I30" i="115"/>
  <c r="I32" i="115"/>
  <c r="I34" i="115"/>
  <c r="I36" i="115"/>
  <c r="I39" i="115"/>
  <c r="I41" i="115"/>
  <c r="I43" i="115"/>
  <c r="I45" i="115"/>
  <c r="I48" i="115"/>
  <c r="Y27" i="114"/>
  <c r="O10" i="114"/>
  <c r="A6" i="114"/>
  <c r="AE60" i="115"/>
  <c r="A5" i="114"/>
  <c r="AD4" i="115"/>
  <c r="X48" i="114"/>
  <c r="F30" i="114"/>
  <c r="O5" i="114"/>
  <c r="F5" i="114"/>
  <c r="D2" i="114"/>
  <c r="E1" i="114"/>
  <c r="Y27" i="112"/>
  <c r="G34" i="112"/>
  <c r="G32" i="113"/>
  <c r="C16" i="112"/>
  <c r="A19" i="112"/>
  <c r="AE60" i="113"/>
  <c r="A5" i="112"/>
  <c r="AD4" i="113"/>
  <c r="X48" i="112"/>
  <c r="F30" i="112"/>
  <c r="O5" i="112"/>
  <c r="F5" i="112"/>
  <c r="D2" i="112"/>
  <c r="E1" i="112"/>
  <c r="I32" i="141"/>
  <c r="G45" i="141"/>
  <c r="H30" i="141"/>
  <c r="G36" i="141"/>
  <c r="I48" i="141"/>
  <c r="H30" i="119"/>
  <c r="L15" i="122"/>
  <c r="S6" i="123"/>
  <c r="H39" i="137"/>
  <c r="S6" i="121"/>
  <c r="G41" i="119"/>
  <c r="H45" i="141"/>
  <c r="G32" i="141"/>
  <c r="H34" i="141"/>
  <c r="G41" i="141"/>
  <c r="H43" i="141"/>
  <c r="I45" i="141"/>
  <c r="I34" i="141"/>
  <c r="G39" i="141"/>
  <c r="H41" i="141"/>
  <c r="H36" i="137"/>
  <c r="I36" i="137"/>
  <c r="I34" i="137"/>
  <c r="G32" i="133"/>
  <c r="H39" i="133"/>
  <c r="I39" i="133"/>
  <c r="H32" i="131"/>
  <c r="G39" i="129"/>
  <c r="I32" i="129"/>
  <c r="G30" i="127"/>
  <c r="H39" i="127"/>
  <c r="I41" i="127"/>
  <c r="G34" i="127"/>
  <c r="G32" i="127"/>
  <c r="H34" i="127"/>
  <c r="H32" i="125"/>
  <c r="I43" i="125"/>
  <c r="G32" i="125"/>
  <c r="H48" i="125"/>
  <c r="G30" i="125"/>
  <c r="H41" i="125"/>
  <c r="G45" i="125"/>
  <c r="G34" i="125"/>
  <c r="H36" i="125"/>
  <c r="H45" i="125"/>
  <c r="U11" i="118"/>
  <c r="G30" i="117"/>
  <c r="M19" i="114"/>
  <c r="R19" i="114"/>
  <c r="G36" i="113"/>
  <c r="I32" i="113"/>
  <c r="H30" i="113"/>
  <c r="H45" i="113"/>
  <c r="I30" i="113"/>
  <c r="H48" i="113"/>
  <c r="I48" i="113"/>
  <c r="I34" i="113"/>
  <c r="H41" i="113"/>
  <c r="B4" i="87"/>
  <c r="L95" i="87"/>
  <c r="L93" i="87"/>
  <c r="L75" i="87"/>
  <c r="L71" i="87"/>
  <c r="L69" i="87"/>
  <c r="L65" i="87"/>
  <c r="F65" i="87"/>
  <c r="F63" i="87"/>
  <c r="F59" i="87"/>
  <c r="F57" i="87"/>
  <c r="F53" i="87"/>
  <c r="F51" i="87"/>
  <c r="F47" i="87"/>
  <c r="F45" i="87"/>
  <c r="F20" i="87"/>
  <c r="I95" i="87"/>
  <c r="I77" i="87"/>
  <c r="I69" i="87"/>
  <c r="I57" i="87"/>
  <c r="I45" i="87"/>
  <c r="B1" i="88"/>
  <c r="J52" i="92"/>
  <c r="A5" i="19"/>
  <c r="AD4" i="17"/>
  <c r="AD4" i="91"/>
  <c r="AF41" i="87"/>
  <c r="AC41" i="87"/>
  <c r="AF4" i="87"/>
  <c r="AC4" i="87"/>
  <c r="Y4" i="87"/>
  <c r="V4" i="87"/>
  <c r="R4" i="87"/>
  <c r="O4" i="87"/>
  <c r="K4" i="87"/>
  <c r="E4" i="87"/>
  <c r="AB46" i="87"/>
  <c r="A1" i="87"/>
  <c r="B22" i="88"/>
  <c r="B55" i="88"/>
  <c r="B31" i="88"/>
  <c r="B19" i="88"/>
  <c r="B7" i="88"/>
  <c r="J47" i="92"/>
  <c r="J53" i="92"/>
  <c r="J48" i="92"/>
  <c r="J49" i="92"/>
  <c r="J50" i="92"/>
  <c r="J51" i="92"/>
  <c r="AE57" i="91"/>
  <c r="X48" i="90"/>
  <c r="F30" i="90"/>
  <c r="K16" i="15"/>
  <c r="K17" i="15"/>
  <c r="K18" i="15"/>
  <c r="K19" i="15"/>
  <c r="K20" i="15"/>
  <c r="K21" i="15"/>
  <c r="H16" i="15"/>
  <c r="H17" i="15"/>
  <c r="H18" i="15"/>
  <c r="H19" i="15"/>
  <c r="H20" i="15"/>
  <c r="H21" i="15"/>
  <c r="O5" i="19"/>
  <c r="F5" i="19"/>
  <c r="F2" i="19"/>
  <c r="K25" i="15"/>
  <c r="K3" i="15"/>
  <c r="G1" i="91"/>
  <c r="G44" i="86"/>
  <c r="B44" i="86"/>
  <c r="F44" i="86"/>
  <c r="H44" i="86"/>
  <c r="I44" i="86"/>
  <c r="E44" i="86"/>
  <c r="D44" i="86"/>
  <c r="C44" i="86"/>
  <c r="U60" i="15"/>
  <c r="U59" i="15"/>
  <c r="U58" i="15"/>
  <c r="Y5" i="19"/>
  <c r="U44" i="15"/>
  <c r="C28" i="193"/>
  <c r="M19" i="19"/>
  <c r="G34" i="19"/>
  <c r="G34" i="17"/>
  <c r="G1" i="17"/>
  <c r="AH6" i="17"/>
  <c r="F30" i="19"/>
  <c r="Y27" i="19"/>
  <c r="U21" i="15"/>
  <c r="U22" i="15"/>
  <c r="H22" i="15"/>
  <c r="AE60" i="17"/>
  <c r="X48" i="19"/>
  <c r="AH6" i="113"/>
  <c r="Y5" i="114"/>
  <c r="AH6" i="115"/>
  <c r="E6" i="141"/>
  <c r="S6" i="131"/>
  <c r="L6" i="141"/>
  <c r="S6" i="125"/>
  <c r="E6" i="125"/>
  <c r="S6" i="141"/>
  <c r="M23" i="124"/>
  <c r="A15" i="112"/>
  <c r="E6" i="113"/>
  <c r="T15" i="112"/>
  <c r="G15" i="112"/>
  <c r="L6" i="113"/>
  <c r="I48" i="117"/>
  <c r="G34" i="117"/>
  <c r="G32" i="117"/>
  <c r="I34" i="117"/>
  <c r="L15" i="116"/>
  <c r="S6" i="117"/>
  <c r="G19" i="122"/>
  <c r="G32" i="123"/>
  <c r="I39" i="119"/>
  <c r="G45" i="119"/>
  <c r="H43" i="119"/>
  <c r="E26" i="193"/>
  <c r="E26" i="195"/>
  <c r="E23" i="193"/>
  <c r="E23" i="195"/>
  <c r="E18" i="193"/>
  <c r="E18" i="195"/>
  <c r="E12" i="193"/>
  <c r="E12" i="195"/>
  <c r="E14" i="193"/>
  <c r="E14" i="195"/>
  <c r="E16" i="193"/>
  <c r="E16" i="195"/>
  <c r="I43" i="141"/>
  <c r="H32" i="141"/>
  <c r="I36" i="141"/>
  <c r="I41" i="141"/>
  <c r="H39" i="141"/>
  <c r="H36" i="141"/>
  <c r="I30" i="141"/>
  <c r="G43" i="141"/>
  <c r="G48" i="141"/>
  <c r="G34" i="141"/>
  <c r="H48" i="141"/>
  <c r="A15" i="114"/>
  <c r="E6" i="115"/>
  <c r="G15" i="126"/>
  <c r="M23" i="126"/>
  <c r="L15" i="126"/>
  <c r="S6" i="127"/>
  <c r="A15" i="126"/>
  <c r="E6" i="127"/>
  <c r="T15" i="126"/>
  <c r="O10" i="116"/>
  <c r="O11" i="116"/>
  <c r="O9" i="116"/>
  <c r="U11" i="116"/>
  <c r="G10" i="116"/>
  <c r="G11" i="116"/>
  <c r="A9" i="116"/>
  <c r="AB23" i="117"/>
  <c r="A11" i="158"/>
  <c r="G11" i="186"/>
  <c r="A11" i="166"/>
  <c r="A11" i="145"/>
  <c r="A11" i="168"/>
  <c r="O8" i="19"/>
  <c r="Y8" i="17"/>
  <c r="O9" i="19"/>
  <c r="O11" i="19"/>
  <c r="U10" i="19"/>
  <c r="O12" i="19"/>
  <c r="A11" i="155"/>
  <c r="A11" i="162"/>
  <c r="G11" i="188"/>
  <c r="G11" i="190"/>
  <c r="A11" i="172"/>
  <c r="A11" i="192"/>
  <c r="A11" i="190"/>
  <c r="A11" i="188"/>
  <c r="A11" i="186"/>
  <c r="A11" i="184"/>
  <c r="A11" i="182"/>
  <c r="A11" i="122"/>
  <c r="A11" i="124"/>
  <c r="A11" i="136"/>
  <c r="A11" i="154"/>
  <c r="A11" i="152"/>
  <c r="A11" i="178"/>
  <c r="G11" i="184"/>
  <c r="U10" i="178"/>
  <c r="U11" i="171"/>
  <c r="O8" i="171"/>
  <c r="Y8" i="170"/>
  <c r="G30" i="170"/>
  <c r="G32" i="170"/>
  <c r="G34" i="170"/>
  <c r="G36" i="170"/>
  <c r="G39" i="170"/>
  <c r="G41" i="170"/>
  <c r="G43" i="170"/>
  <c r="G45" i="170"/>
  <c r="G48" i="170"/>
  <c r="A19" i="164"/>
  <c r="O9" i="168"/>
  <c r="A8" i="162"/>
  <c r="G8" i="163"/>
  <c r="O8" i="168"/>
  <c r="Y8" i="169"/>
  <c r="G32" i="151"/>
  <c r="I45" i="151"/>
  <c r="H45" i="146"/>
  <c r="I32" i="146"/>
  <c r="H43" i="146"/>
  <c r="I32" i="151"/>
  <c r="G45" i="151"/>
  <c r="I34" i="151"/>
  <c r="I39" i="151"/>
  <c r="H43" i="151"/>
  <c r="I39" i="146"/>
  <c r="I36" i="146"/>
  <c r="G34" i="151"/>
  <c r="G48" i="151"/>
  <c r="U11" i="158"/>
  <c r="O10" i="158"/>
  <c r="O9" i="150"/>
  <c r="O12" i="158"/>
  <c r="O9" i="158"/>
  <c r="O12" i="150"/>
  <c r="U11" i="154"/>
  <c r="G34" i="119"/>
  <c r="G36" i="133"/>
  <c r="G32" i="137"/>
  <c r="H41" i="133"/>
  <c r="I36" i="119"/>
  <c r="G36" i="119"/>
  <c r="H32" i="113"/>
  <c r="G43" i="113"/>
  <c r="G45" i="113"/>
  <c r="I30" i="119"/>
  <c r="I30" i="125"/>
  <c r="I36" i="125"/>
  <c r="H43" i="125"/>
  <c r="I43" i="129"/>
  <c r="I43" i="133"/>
  <c r="G39" i="119"/>
  <c r="G41" i="125"/>
  <c r="G34" i="133"/>
  <c r="H32" i="133"/>
  <c r="H32" i="137"/>
  <c r="H39" i="119"/>
  <c r="R19" i="112"/>
  <c r="I36" i="113"/>
  <c r="H30" i="117"/>
  <c r="G36" i="117"/>
  <c r="H45" i="119"/>
  <c r="G43" i="125"/>
  <c r="I41" i="125"/>
  <c r="I30" i="133"/>
  <c r="G48" i="135"/>
  <c r="G30" i="137"/>
  <c r="H45" i="137"/>
  <c r="G48" i="125"/>
  <c r="I32" i="119"/>
  <c r="G32" i="119"/>
  <c r="I34" i="119"/>
  <c r="H34" i="119"/>
  <c r="I43" i="113"/>
  <c r="G30" i="113"/>
  <c r="H34" i="113"/>
  <c r="G34" i="113"/>
  <c r="H36" i="113"/>
  <c r="I36" i="117"/>
  <c r="G43" i="119"/>
  <c r="H48" i="119"/>
  <c r="I39" i="125"/>
  <c r="I45" i="125"/>
  <c r="I32" i="125"/>
  <c r="G36" i="125"/>
  <c r="G39" i="125"/>
  <c r="I39" i="127"/>
  <c r="H41" i="127"/>
  <c r="H45" i="133"/>
  <c r="I41" i="133"/>
  <c r="I43" i="137"/>
  <c r="G41" i="137"/>
  <c r="H34" i="125"/>
  <c r="G30" i="119"/>
  <c r="I43" i="119"/>
  <c r="I45" i="119"/>
  <c r="I48" i="119"/>
  <c r="U11" i="128"/>
  <c r="U11" i="130"/>
  <c r="U11" i="132"/>
  <c r="A15" i="166"/>
  <c r="E6" i="167"/>
  <c r="M23" i="158"/>
  <c r="A15" i="172"/>
  <c r="E6" i="180"/>
  <c r="T15" i="164"/>
  <c r="G15" i="166"/>
  <c r="M23" i="166"/>
  <c r="T15" i="172"/>
  <c r="L15" i="152"/>
  <c r="T15" i="192"/>
  <c r="T15" i="171"/>
  <c r="L15" i="192"/>
  <c r="G15" i="192"/>
  <c r="M23" i="192"/>
  <c r="A15" i="192"/>
  <c r="G15" i="171"/>
  <c r="M23" i="171"/>
  <c r="G15" i="168"/>
  <c r="M23" i="168"/>
  <c r="A15" i="168"/>
  <c r="E6" i="169"/>
  <c r="T15" i="168"/>
  <c r="A15" i="171"/>
  <c r="E6" i="170"/>
  <c r="J8" i="178"/>
  <c r="C8" i="178"/>
  <c r="A9" i="178"/>
  <c r="E8" i="178"/>
  <c r="U10" i="172"/>
  <c r="G15" i="172"/>
  <c r="L6" i="180"/>
  <c r="M19" i="172"/>
  <c r="L15" i="166"/>
  <c r="T15" i="166"/>
  <c r="A8" i="166"/>
  <c r="G8" i="167"/>
  <c r="G19" i="164"/>
  <c r="O9" i="166"/>
  <c r="U11" i="166"/>
  <c r="T15" i="148"/>
  <c r="S6" i="149"/>
  <c r="T15" i="160"/>
  <c r="G15" i="148"/>
  <c r="M23" i="148"/>
  <c r="G15" i="160"/>
  <c r="M23" i="160"/>
  <c r="S6" i="163"/>
  <c r="L15" i="148"/>
  <c r="O12" i="168"/>
  <c r="U10" i="164"/>
  <c r="M19" i="158"/>
  <c r="H45" i="151"/>
  <c r="R19" i="158"/>
  <c r="A19" i="158"/>
  <c r="G23" i="159"/>
  <c r="G43" i="153"/>
  <c r="G34" i="153"/>
  <c r="G48" i="153"/>
  <c r="G39" i="153"/>
  <c r="G41" i="153"/>
  <c r="G32" i="153"/>
  <c r="G45" i="153"/>
  <c r="G36" i="153"/>
  <c r="A19" i="130"/>
  <c r="M19" i="130"/>
  <c r="L15" i="134"/>
  <c r="S6" i="135"/>
  <c r="T15" i="134"/>
  <c r="G19" i="145"/>
  <c r="R19" i="145"/>
  <c r="U10" i="171"/>
  <c r="I32" i="117"/>
  <c r="H32" i="117"/>
  <c r="I43" i="117"/>
  <c r="I30" i="117"/>
  <c r="G48" i="117"/>
  <c r="G39" i="117"/>
  <c r="H34" i="117"/>
  <c r="H30" i="129"/>
  <c r="G45" i="129"/>
  <c r="A8" i="154"/>
  <c r="G8" i="153"/>
  <c r="A9" i="154"/>
  <c r="O9" i="171"/>
  <c r="H43" i="156"/>
  <c r="G36" i="156"/>
  <c r="I30" i="170"/>
  <c r="I32" i="170"/>
  <c r="I34" i="170"/>
  <c r="I36" i="170"/>
  <c r="I39" i="170"/>
  <c r="I41" i="170"/>
  <c r="I43" i="170"/>
  <c r="I45" i="170"/>
  <c r="I48" i="170"/>
  <c r="A9" i="172"/>
  <c r="G10" i="172"/>
  <c r="A8" i="178"/>
  <c r="H8" i="179"/>
  <c r="G10" i="178"/>
  <c r="L8" i="178"/>
  <c r="H8" i="178"/>
  <c r="D8" i="178"/>
  <c r="H45" i="117"/>
  <c r="G45" i="117"/>
  <c r="H45" i="127"/>
  <c r="G36" i="127"/>
  <c r="G41" i="129"/>
  <c r="I32" i="123"/>
  <c r="I45" i="127"/>
  <c r="I34" i="127"/>
  <c r="G48" i="127"/>
  <c r="I32" i="127"/>
  <c r="G45" i="127"/>
  <c r="H36" i="127"/>
  <c r="I48" i="127"/>
  <c r="G41" i="127"/>
  <c r="I43" i="146"/>
  <c r="G41" i="146"/>
  <c r="G36" i="146"/>
  <c r="H32" i="146"/>
  <c r="I30" i="146"/>
  <c r="G43" i="146"/>
  <c r="I30" i="163"/>
  <c r="I32" i="163"/>
  <c r="I34" i="163"/>
  <c r="I36" i="163"/>
  <c r="I39" i="163"/>
  <c r="I41" i="163"/>
  <c r="I43" i="163"/>
  <c r="I45" i="163"/>
  <c r="I48" i="163"/>
  <c r="H30" i="163"/>
  <c r="H32" i="163"/>
  <c r="H34" i="163"/>
  <c r="H36" i="163"/>
  <c r="H39" i="163"/>
  <c r="H41" i="163"/>
  <c r="H43" i="163"/>
  <c r="H45" i="163"/>
  <c r="H48" i="163"/>
  <c r="M23" i="188"/>
  <c r="L6" i="189"/>
  <c r="H43" i="117"/>
  <c r="H48" i="117"/>
  <c r="H41" i="117"/>
  <c r="H43" i="127"/>
  <c r="I30" i="127"/>
  <c r="I41" i="129"/>
  <c r="G34" i="129"/>
  <c r="A19" i="138"/>
  <c r="G23" i="139"/>
  <c r="A19" i="114"/>
  <c r="G19" i="114"/>
  <c r="I34" i="121"/>
  <c r="G30" i="121"/>
  <c r="G19" i="128"/>
  <c r="A19" i="128"/>
  <c r="G48" i="131"/>
  <c r="H39" i="131"/>
  <c r="H48" i="131"/>
  <c r="G30" i="133"/>
  <c r="I36" i="133"/>
  <c r="I32" i="133"/>
  <c r="G45" i="133"/>
  <c r="H36" i="133"/>
  <c r="H48" i="137"/>
  <c r="G48" i="137"/>
  <c r="I30" i="137"/>
  <c r="G43" i="137"/>
  <c r="H34" i="137"/>
  <c r="I45" i="137"/>
  <c r="G39" i="137"/>
  <c r="H36" i="146"/>
  <c r="A10" i="154"/>
  <c r="G30" i="146"/>
  <c r="H34" i="146"/>
  <c r="H39" i="146"/>
  <c r="G45" i="146"/>
  <c r="O8" i="164"/>
  <c r="Y8" i="165"/>
  <c r="O12" i="171"/>
  <c r="A8" i="158"/>
  <c r="G8" i="159"/>
  <c r="L15" i="155"/>
  <c r="A15" i="155"/>
  <c r="G19" i="166"/>
  <c r="O12" i="166"/>
  <c r="U10" i="166"/>
  <c r="F8" i="178"/>
  <c r="K8" i="178"/>
  <c r="S6" i="17"/>
  <c r="G41" i="117"/>
  <c r="I41" i="117"/>
  <c r="G43" i="117"/>
  <c r="H36" i="117"/>
  <c r="I39" i="117"/>
  <c r="I36" i="127"/>
  <c r="G43" i="127"/>
  <c r="H48" i="127"/>
  <c r="H30" i="127"/>
  <c r="G36" i="129"/>
  <c r="H36" i="129"/>
  <c r="I43" i="131"/>
  <c r="G43" i="133"/>
  <c r="H48" i="133"/>
  <c r="H30" i="133"/>
  <c r="G41" i="133"/>
  <c r="H41" i="137"/>
  <c r="H43" i="137"/>
  <c r="I48" i="137"/>
  <c r="G34" i="137"/>
  <c r="I41" i="137"/>
  <c r="G48" i="113"/>
  <c r="I39" i="113"/>
  <c r="G41" i="113"/>
  <c r="I41" i="113"/>
  <c r="H39" i="113"/>
  <c r="I45" i="113"/>
  <c r="G39" i="113"/>
  <c r="G15" i="122"/>
  <c r="M23" i="122"/>
  <c r="T15" i="122"/>
  <c r="A15" i="122"/>
  <c r="E6" i="123"/>
  <c r="I43" i="127"/>
  <c r="I30" i="129"/>
  <c r="G39" i="139"/>
  <c r="G34" i="146"/>
  <c r="O9" i="155"/>
  <c r="U10" i="155"/>
  <c r="H30" i="146"/>
  <c r="I34" i="146"/>
  <c r="H41" i="146"/>
  <c r="I45" i="146"/>
  <c r="S6" i="146"/>
  <c r="A15" i="148"/>
  <c r="E6" i="149"/>
  <c r="I45" i="157"/>
  <c r="I39" i="157"/>
  <c r="I41" i="157"/>
  <c r="S6" i="153"/>
  <c r="T15" i="155"/>
  <c r="M23" i="162"/>
  <c r="G8" i="165"/>
  <c r="O8" i="166"/>
  <c r="Y8" i="167"/>
  <c r="M19" i="145"/>
  <c r="A10" i="160"/>
  <c r="A8" i="160"/>
  <c r="G8" i="161"/>
  <c r="G30" i="163"/>
  <c r="G32" i="163"/>
  <c r="G34" i="163"/>
  <c r="G36" i="163"/>
  <c r="G39" i="163"/>
  <c r="G41" i="163"/>
  <c r="G43" i="163"/>
  <c r="G45" i="163"/>
  <c r="G48" i="163"/>
  <c r="O10" i="164"/>
  <c r="I36" i="156"/>
  <c r="R19" i="166"/>
  <c r="O10" i="171"/>
  <c r="A12" i="172"/>
  <c r="O10" i="168"/>
  <c r="U10" i="168"/>
  <c r="B8" i="178"/>
  <c r="G8" i="178"/>
  <c r="M8" i="178"/>
  <c r="A12" i="178"/>
  <c r="A9" i="171"/>
  <c r="AB23" i="180"/>
  <c r="A10" i="171"/>
  <c r="G15" i="128"/>
  <c r="L6" i="129"/>
  <c r="E6" i="91"/>
  <c r="I39" i="123"/>
  <c r="R19" i="132"/>
  <c r="G34" i="135"/>
  <c r="H34" i="135"/>
  <c r="O9" i="154"/>
  <c r="O11" i="145"/>
  <c r="A10" i="155"/>
  <c r="A12" i="155"/>
  <c r="G19" i="160"/>
  <c r="H30" i="161"/>
  <c r="H32" i="161"/>
  <c r="H34" i="161"/>
  <c r="H36" i="161"/>
  <c r="H39" i="161"/>
  <c r="H41" i="161"/>
  <c r="H43" i="161"/>
  <c r="H45" i="161"/>
  <c r="H48" i="161"/>
  <c r="E6" i="163"/>
  <c r="O11" i="178"/>
  <c r="L15" i="128"/>
  <c r="S6" i="129"/>
  <c r="R19" i="120"/>
  <c r="H48" i="123"/>
  <c r="M19" i="132"/>
  <c r="I30" i="135"/>
  <c r="I48" i="131"/>
  <c r="I32" i="137"/>
  <c r="O8" i="145"/>
  <c r="Y8" i="146"/>
  <c r="O10" i="160"/>
  <c r="O10" i="154"/>
  <c r="G15" i="155"/>
  <c r="M23" i="155"/>
  <c r="I30" i="161"/>
  <c r="I32" i="161"/>
  <c r="I34" i="161"/>
  <c r="I36" i="161"/>
  <c r="I39" i="161"/>
  <c r="I41" i="161"/>
  <c r="I43" i="161"/>
  <c r="I45" i="161"/>
  <c r="I48" i="161"/>
  <c r="G10" i="168"/>
  <c r="O9" i="172"/>
  <c r="L15" i="160"/>
  <c r="H30" i="156"/>
  <c r="I41" i="156"/>
  <c r="A9" i="166"/>
  <c r="AB23" i="167"/>
  <c r="A10" i="172"/>
  <c r="R19" i="172"/>
  <c r="G15" i="138"/>
  <c r="M23" i="138"/>
  <c r="T15" i="138"/>
  <c r="T15" i="128"/>
  <c r="H43" i="123"/>
  <c r="H39" i="135"/>
  <c r="G10" i="148"/>
  <c r="G36" i="137"/>
  <c r="A15" i="138"/>
  <c r="E6" i="139"/>
  <c r="L15" i="138"/>
  <c r="S6" i="139"/>
  <c r="O12" i="160"/>
  <c r="G15" i="152"/>
  <c r="L6" i="165"/>
  <c r="A15" i="152"/>
  <c r="E6" i="165"/>
  <c r="R19" i="160"/>
  <c r="A19" i="145"/>
  <c r="H32" i="156"/>
  <c r="A19" i="172"/>
  <c r="O12" i="178"/>
  <c r="T15" i="178"/>
  <c r="O9" i="178"/>
  <c r="Y20" i="179"/>
  <c r="O10" i="178"/>
  <c r="L15" i="178"/>
  <c r="O9" i="148"/>
  <c r="O12" i="148"/>
  <c r="O11" i="148"/>
  <c r="G15" i="150"/>
  <c r="M23" i="150"/>
  <c r="L15" i="150"/>
  <c r="S6" i="151"/>
  <c r="O9" i="160"/>
  <c r="U10" i="160"/>
  <c r="G10" i="160"/>
  <c r="A9" i="160"/>
  <c r="AB23" i="161"/>
  <c r="G10" i="158"/>
  <c r="A12" i="158"/>
  <c r="A9" i="158"/>
  <c r="AB23" i="159"/>
  <c r="A10" i="148"/>
  <c r="A8" i="148"/>
  <c r="G8" i="149"/>
  <c r="A12" i="148"/>
  <c r="O8" i="154"/>
  <c r="Y8" i="153"/>
  <c r="G10" i="164"/>
  <c r="A12" i="164"/>
  <c r="A10" i="164"/>
  <c r="G11" i="164"/>
  <c r="O12" i="145"/>
  <c r="G19" i="130"/>
  <c r="G23" i="131"/>
  <c r="G19" i="126"/>
  <c r="G23" i="127"/>
  <c r="M19" i="116"/>
  <c r="I45" i="117"/>
  <c r="H39" i="157"/>
  <c r="H48" i="157"/>
  <c r="G36" i="157"/>
  <c r="G30" i="157"/>
  <c r="G34" i="157"/>
  <c r="I36" i="157"/>
  <c r="H41" i="157"/>
  <c r="H45" i="157"/>
  <c r="H32" i="157"/>
  <c r="H36" i="157"/>
  <c r="G41" i="157"/>
  <c r="I43" i="157"/>
  <c r="I48" i="157"/>
  <c r="G45" i="157"/>
  <c r="I32" i="157"/>
  <c r="I30" i="157"/>
  <c r="H34" i="157"/>
  <c r="G39" i="157"/>
  <c r="G43" i="157"/>
  <c r="A12" i="154"/>
  <c r="I36" i="139"/>
  <c r="H36" i="119"/>
  <c r="H41" i="119"/>
  <c r="G48" i="119"/>
  <c r="H32" i="119"/>
  <c r="E6" i="119"/>
  <c r="S6" i="119"/>
  <c r="H30" i="115"/>
  <c r="H32" i="115"/>
  <c r="H34" i="115"/>
  <c r="H36" i="115"/>
  <c r="H39" i="115"/>
  <c r="H41" i="115"/>
  <c r="H43" i="115"/>
  <c r="H45" i="115"/>
  <c r="H48" i="115"/>
  <c r="G30" i="115"/>
  <c r="G32" i="115"/>
  <c r="G34" i="115"/>
  <c r="G36" i="115"/>
  <c r="G39" i="115"/>
  <c r="G41" i="115"/>
  <c r="G43" i="115"/>
  <c r="G45" i="115"/>
  <c r="G48" i="115"/>
  <c r="G15" i="114"/>
  <c r="L6" i="115"/>
  <c r="L15" i="114"/>
  <c r="S6" i="115"/>
  <c r="H43" i="113"/>
  <c r="A19" i="132"/>
  <c r="G23" i="133"/>
  <c r="L15" i="132"/>
  <c r="S6" i="133"/>
  <c r="G15" i="132"/>
  <c r="L6" i="133"/>
  <c r="A15" i="132"/>
  <c r="E6" i="133"/>
  <c r="M23" i="120"/>
  <c r="G36" i="135"/>
  <c r="H45" i="135"/>
  <c r="I45" i="135"/>
  <c r="H43" i="135"/>
  <c r="I48" i="135"/>
  <c r="H48" i="135"/>
  <c r="G45" i="135"/>
  <c r="I32" i="135"/>
  <c r="H41" i="135"/>
  <c r="G41" i="135"/>
  <c r="G39" i="135"/>
  <c r="H36" i="135"/>
  <c r="G32" i="135"/>
  <c r="I41" i="135"/>
  <c r="H30" i="135"/>
  <c r="I36" i="135"/>
  <c r="I34" i="135"/>
  <c r="H32" i="135"/>
  <c r="I43" i="135"/>
  <c r="I39" i="135"/>
  <c r="G43" i="135"/>
  <c r="H39" i="121"/>
  <c r="G48" i="121"/>
  <c r="H36" i="121"/>
  <c r="G43" i="121"/>
  <c r="G19" i="134"/>
  <c r="G15" i="134"/>
  <c r="M23" i="134"/>
  <c r="G45" i="137"/>
  <c r="H41" i="131"/>
  <c r="G30" i="131"/>
  <c r="I36" i="131"/>
  <c r="I41" i="131"/>
  <c r="I30" i="131"/>
  <c r="I39" i="131"/>
  <c r="G39" i="131"/>
  <c r="I45" i="131"/>
  <c r="H34" i="131"/>
  <c r="G36" i="131"/>
  <c r="G45" i="131"/>
  <c r="I32" i="131"/>
  <c r="G43" i="131"/>
  <c r="I34" i="131"/>
  <c r="H43" i="131"/>
  <c r="G32" i="131"/>
  <c r="H30" i="131"/>
  <c r="H36" i="131"/>
  <c r="G34" i="131"/>
  <c r="H45" i="131"/>
  <c r="M23" i="130"/>
  <c r="G41" i="123"/>
  <c r="I48" i="123"/>
  <c r="H36" i="123"/>
  <c r="I41" i="123"/>
  <c r="G48" i="123"/>
  <c r="I34" i="123"/>
  <c r="I36" i="123"/>
  <c r="H45" i="123"/>
  <c r="G34" i="123"/>
  <c r="G36" i="123"/>
  <c r="H39" i="123"/>
  <c r="H41" i="123"/>
  <c r="H34" i="123"/>
  <c r="G43" i="123"/>
  <c r="I30" i="123"/>
  <c r="H30" i="123"/>
  <c r="H32" i="123"/>
  <c r="G45" i="123"/>
  <c r="G30" i="123"/>
  <c r="I43" i="123"/>
  <c r="I45" i="123"/>
  <c r="G30" i="91"/>
  <c r="G32" i="91"/>
  <c r="G34" i="91"/>
  <c r="G36" i="91"/>
  <c r="G39" i="91"/>
  <c r="G41" i="91"/>
  <c r="G43" i="91"/>
  <c r="G45" i="91"/>
  <c r="G48" i="91"/>
  <c r="I30" i="91"/>
  <c r="I32" i="91"/>
  <c r="I34" i="91"/>
  <c r="I36" i="91"/>
  <c r="I39" i="91"/>
  <c r="I41" i="91"/>
  <c r="I43" i="91"/>
  <c r="I45" i="91"/>
  <c r="I48" i="91"/>
  <c r="R19" i="124"/>
  <c r="M19" i="136"/>
  <c r="A19" i="134"/>
  <c r="M19" i="120"/>
  <c r="G19" i="90"/>
  <c r="M19" i="138"/>
  <c r="A19" i="120"/>
  <c r="G23" i="121"/>
  <c r="M19" i="112"/>
  <c r="G19" i="116"/>
  <c r="G23" i="117"/>
  <c r="R19" i="126"/>
  <c r="G19" i="112"/>
  <c r="G23" i="113"/>
  <c r="R19" i="118"/>
  <c r="R19" i="122"/>
  <c r="M19" i="126"/>
  <c r="R19" i="128"/>
  <c r="M19" i="134"/>
  <c r="R19" i="116"/>
  <c r="M19" i="122"/>
  <c r="M19" i="128"/>
  <c r="G19" i="140"/>
  <c r="A19" i="140"/>
  <c r="R19" i="140"/>
  <c r="A19" i="90"/>
  <c r="R19" i="90"/>
  <c r="F23" i="191"/>
  <c r="F23" i="187"/>
  <c r="G23" i="165"/>
  <c r="M19" i="148"/>
  <c r="G23" i="157"/>
  <c r="G23" i="123"/>
  <c r="L6" i="191"/>
  <c r="H45" i="17"/>
  <c r="L6" i="183"/>
  <c r="L6" i="187"/>
  <c r="P48" i="181"/>
  <c r="A9" i="122"/>
  <c r="AB23" i="123"/>
  <c r="A10" i="124"/>
  <c r="O12" i="132"/>
  <c r="A8" i="122"/>
  <c r="G8" i="123"/>
  <c r="A8" i="124"/>
  <c r="G8" i="125"/>
  <c r="A12" i="136"/>
  <c r="A10" i="122"/>
  <c r="I32" i="17"/>
  <c r="H41" i="17"/>
  <c r="H43" i="17"/>
  <c r="G32" i="17"/>
  <c r="G11" i="171"/>
  <c r="A11" i="148"/>
  <c r="A11" i="114"/>
  <c r="A11" i="132"/>
  <c r="A11" i="134"/>
  <c r="A11" i="160"/>
  <c r="A11" i="164"/>
  <c r="G11" i="120"/>
  <c r="G11" i="152"/>
  <c r="G11" i="168"/>
  <c r="B50" i="12"/>
  <c r="O10" i="128"/>
  <c r="O9" i="136"/>
  <c r="G10" i="132"/>
  <c r="O12" i="128"/>
  <c r="O9" i="130"/>
  <c r="O9" i="128"/>
  <c r="A9" i="132"/>
  <c r="AB23" i="133"/>
  <c r="O8" i="138"/>
  <c r="Y8" i="139"/>
  <c r="A10" i="132"/>
  <c r="O10" i="138"/>
  <c r="I45" i="17"/>
  <c r="I39" i="17"/>
  <c r="G48" i="17"/>
  <c r="I43" i="17"/>
  <c r="G45" i="17"/>
  <c r="I34" i="17"/>
  <c r="G39" i="17"/>
  <c r="G41" i="17"/>
  <c r="I48" i="17"/>
  <c r="G36" i="17"/>
  <c r="H32" i="17"/>
  <c r="H34" i="17"/>
  <c r="G30" i="17"/>
  <c r="H30" i="17"/>
  <c r="G19" i="19"/>
  <c r="I81" i="87"/>
  <c r="I16" i="181"/>
  <c r="P13" i="181"/>
  <c r="U10" i="138"/>
  <c r="A9" i="128"/>
  <c r="AB23" i="129"/>
  <c r="I89" i="181"/>
  <c r="I101" i="181"/>
  <c r="P98" i="181"/>
  <c r="W92" i="181"/>
  <c r="AD80" i="181"/>
  <c r="I89" i="87"/>
  <c r="U10" i="130"/>
  <c r="A12" i="120"/>
  <c r="O8" i="134"/>
  <c r="Y8" i="135"/>
  <c r="A8" i="138"/>
  <c r="G8" i="139"/>
  <c r="O12" i="126"/>
  <c r="A12" i="118"/>
  <c r="O11" i="152"/>
  <c r="O11" i="160"/>
  <c r="O11" i="154"/>
  <c r="O11" i="162"/>
  <c r="G10" i="114"/>
  <c r="A11" i="126"/>
  <c r="A9" i="124"/>
  <c r="AB23" i="125"/>
  <c r="O8" i="112"/>
  <c r="Y8" i="113"/>
  <c r="O11" i="128"/>
  <c r="I22" i="181"/>
  <c r="I71" i="181"/>
  <c r="I69" i="181"/>
  <c r="P72" i="181"/>
  <c r="P74" i="181"/>
  <c r="W68" i="181"/>
  <c r="K43" i="15"/>
  <c r="B4" i="88"/>
  <c r="I65" i="87"/>
  <c r="P62" i="87"/>
  <c r="I59" i="87"/>
  <c r="P60" i="87"/>
  <c r="W66" i="87"/>
  <c r="AB56" i="87"/>
  <c r="AB99" i="87"/>
  <c r="A12" i="134"/>
  <c r="I83" i="181"/>
  <c r="I81" i="181"/>
  <c r="P84" i="181"/>
  <c r="W90" i="181"/>
  <c r="I83" i="87"/>
  <c r="P84" i="87"/>
  <c r="B25" i="88"/>
  <c r="A12" i="112"/>
  <c r="I59" i="181"/>
  <c r="P60" i="181"/>
  <c r="K38" i="15"/>
  <c r="O8" i="124"/>
  <c r="Y8" i="125"/>
  <c r="A10" i="128"/>
  <c r="A9" i="130"/>
  <c r="AB23" i="131"/>
  <c r="O8" i="120"/>
  <c r="Y8" i="121"/>
  <c r="I75" i="181"/>
  <c r="I51" i="181"/>
  <c r="I53" i="181"/>
  <c r="P50" i="181"/>
  <c r="W44" i="181"/>
  <c r="AD31" i="181"/>
  <c r="K35" i="15"/>
  <c r="K33" i="15"/>
  <c r="O9" i="138"/>
  <c r="O8" i="116"/>
  <c r="Y8" i="117"/>
  <c r="A11" i="140"/>
  <c r="I53" i="87"/>
  <c r="I40" i="181"/>
  <c r="K37" i="15"/>
  <c r="I51" i="87"/>
  <c r="P50" i="87"/>
  <c r="O8" i="128"/>
  <c r="Y8" i="129"/>
  <c r="A8" i="132"/>
  <c r="G8" i="133"/>
  <c r="G10" i="124"/>
  <c r="I28" i="181"/>
  <c r="P25" i="181"/>
  <c r="I65" i="181"/>
  <c r="K31" i="15"/>
  <c r="U10" i="116"/>
  <c r="K40" i="15"/>
  <c r="I71" i="87"/>
  <c r="P72" i="87"/>
  <c r="I14" i="87"/>
  <c r="P96" i="87"/>
  <c r="I10" i="87"/>
  <c r="H28" i="15"/>
  <c r="V94" i="15"/>
  <c r="A19" i="19"/>
  <c r="R19" i="19"/>
  <c r="E6" i="17"/>
  <c r="I48" i="149"/>
  <c r="H48" i="149"/>
  <c r="I43" i="149"/>
  <c r="G41" i="149"/>
  <c r="G36" i="149"/>
  <c r="H32" i="149"/>
  <c r="H36" i="149"/>
  <c r="G48" i="149"/>
  <c r="H43" i="149"/>
  <c r="H39" i="149"/>
  <c r="I34" i="149"/>
  <c r="G32" i="149"/>
  <c r="I39" i="149"/>
  <c r="I45" i="149"/>
  <c r="I41" i="149"/>
  <c r="G39" i="149"/>
  <c r="H34" i="149"/>
  <c r="H30" i="149"/>
  <c r="I30" i="149"/>
  <c r="G43" i="149"/>
  <c r="G36" i="121"/>
  <c r="I45" i="121"/>
  <c r="H32" i="121"/>
  <c r="O8" i="114"/>
  <c r="Y8" i="115"/>
  <c r="H48" i="129"/>
  <c r="G43" i="129"/>
  <c r="I34" i="129"/>
  <c r="G30" i="129"/>
  <c r="H41" i="129"/>
  <c r="H34" i="129"/>
  <c r="G48" i="129"/>
  <c r="I39" i="129"/>
  <c r="G32" i="129"/>
  <c r="A11" i="130"/>
  <c r="I45" i="139"/>
  <c r="G45" i="139"/>
  <c r="H41" i="139"/>
  <c r="H36" i="139"/>
  <c r="I32" i="139"/>
  <c r="G30" i="139"/>
  <c r="H48" i="139"/>
  <c r="G41" i="139"/>
  <c r="I43" i="139"/>
  <c r="I39" i="139"/>
  <c r="G36" i="139"/>
  <c r="H32" i="139"/>
  <c r="H45" i="139"/>
  <c r="G32" i="139"/>
  <c r="H43" i="139"/>
  <c r="I48" i="139"/>
  <c r="G43" i="139"/>
  <c r="H39" i="139"/>
  <c r="I34" i="139"/>
  <c r="I30" i="139"/>
  <c r="O10" i="140"/>
  <c r="O8" i="140"/>
  <c r="Y8" i="141"/>
  <c r="U10" i="140"/>
  <c r="O12" i="140"/>
  <c r="H45" i="149"/>
  <c r="H41" i="149"/>
  <c r="AD4" i="161"/>
  <c r="AD4" i="159"/>
  <c r="AD4" i="157"/>
  <c r="AD4" i="153"/>
  <c r="AH6" i="149"/>
  <c r="Y5" i="150"/>
  <c r="R19" i="154"/>
  <c r="M19" i="154"/>
  <c r="G19" i="154"/>
  <c r="G23" i="153"/>
  <c r="G30" i="167"/>
  <c r="G32" i="167"/>
  <c r="G34" i="167"/>
  <c r="G36" i="167"/>
  <c r="G39" i="167"/>
  <c r="G41" i="167"/>
  <c r="G43" i="167"/>
  <c r="G45" i="167"/>
  <c r="G48" i="167"/>
  <c r="I30" i="167"/>
  <c r="I32" i="167"/>
  <c r="I34" i="167"/>
  <c r="I36" i="167"/>
  <c r="I39" i="167"/>
  <c r="I41" i="167"/>
  <c r="I43" i="167"/>
  <c r="I45" i="167"/>
  <c r="I48" i="167"/>
  <c r="H30" i="167"/>
  <c r="H32" i="167"/>
  <c r="H34" i="167"/>
  <c r="H36" i="167"/>
  <c r="H39" i="167"/>
  <c r="H41" i="167"/>
  <c r="H43" i="167"/>
  <c r="H45" i="167"/>
  <c r="H48" i="167"/>
  <c r="H48" i="121"/>
  <c r="G39" i="121"/>
  <c r="H41" i="121"/>
  <c r="G32" i="121"/>
  <c r="H34" i="121"/>
  <c r="G34" i="121"/>
  <c r="I48" i="121"/>
  <c r="I36" i="121"/>
  <c r="I39" i="121"/>
  <c r="G11" i="136"/>
  <c r="A10" i="136"/>
  <c r="G10" i="136"/>
  <c r="A9" i="136"/>
  <c r="AB23" i="137"/>
  <c r="Y5" i="116"/>
  <c r="AH6" i="117"/>
  <c r="I41" i="17"/>
  <c r="H48" i="17"/>
  <c r="H36" i="17"/>
  <c r="I30" i="17"/>
  <c r="G43" i="17"/>
  <c r="H39" i="17"/>
  <c r="I36" i="17"/>
  <c r="G45" i="121"/>
  <c r="I32" i="121"/>
  <c r="I43" i="121"/>
  <c r="H39" i="129"/>
  <c r="I48" i="129"/>
  <c r="H32" i="129"/>
  <c r="H43" i="129"/>
  <c r="A8" i="136"/>
  <c r="G8" i="137"/>
  <c r="H34" i="139"/>
  <c r="R19" i="130"/>
  <c r="I30" i="121"/>
  <c r="H43" i="121"/>
  <c r="A11" i="118"/>
  <c r="G19" i="118"/>
  <c r="A19" i="118"/>
  <c r="G19" i="124"/>
  <c r="A19" i="124"/>
  <c r="I36" i="129"/>
  <c r="I48" i="133"/>
  <c r="I45" i="133"/>
  <c r="G39" i="133"/>
  <c r="I34" i="133"/>
  <c r="H34" i="133"/>
  <c r="G48" i="133"/>
  <c r="I41" i="139"/>
  <c r="A12" i="138"/>
  <c r="G10" i="138"/>
  <c r="A11" i="138"/>
  <c r="A10" i="138"/>
  <c r="G34" i="149"/>
  <c r="G30" i="149"/>
  <c r="G45" i="149"/>
  <c r="A9" i="150"/>
  <c r="AB23" i="151"/>
  <c r="A8" i="150"/>
  <c r="G8" i="151"/>
  <c r="A10" i="150"/>
  <c r="G10" i="150"/>
  <c r="A11" i="150"/>
  <c r="G11" i="150"/>
  <c r="G19" i="155"/>
  <c r="A19" i="155"/>
  <c r="G23" i="156"/>
  <c r="R19" i="155"/>
  <c r="M19" i="155"/>
  <c r="I41" i="121"/>
  <c r="H30" i="121"/>
  <c r="G41" i="121"/>
  <c r="H45" i="121"/>
  <c r="A10" i="126"/>
  <c r="A8" i="126"/>
  <c r="G8" i="127"/>
  <c r="A9" i="126"/>
  <c r="AB23" i="127"/>
  <c r="H45" i="129"/>
  <c r="G19" i="136"/>
  <c r="A19" i="136"/>
  <c r="H30" i="139"/>
  <c r="G48" i="139"/>
  <c r="I32" i="149"/>
  <c r="G19" i="150"/>
  <c r="M19" i="150"/>
  <c r="A19" i="150"/>
  <c r="R19" i="150"/>
  <c r="M19" i="162"/>
  <c r="R19" i="162"/>
  <c r="A19" i="162"/>
  <c r="G23" i="163"/>
  <c r="G1" i="169"/>
  <c r="G1" i="165"/>
  <c r="G1" i="167"/>
  <c r="G1" i="157"/>
  <c r="G1" i="149"/>
  <c r="G1" i="139"/>
  <c r="G1" i="135"/>
  <c r="G1" i="131"/>
  <c r="G1" i="129"/>
  <c r="G1" i="127"/>
  <c r="G1" i="115"/>
  <c r="G1" i="133"/>
  <c r="G1" i="125"/>
  <c r="G1" i="119"/>
  <c r="G1" i="113"/>
  <c r="G1" i="163"/>
  <c r="G1" i="161"/>
  <c r="G1" i="159"/>
  <c r="G1" i="156"/>
  <c r="G1" i="153"/>
  <c r="G1" i="137"/>
  <c r="G1" i="121"/>
  <c r="R19" i="148"/>
  <c r="I48" i="156"/>
  <c r="H45" i="156"/>
  <c r="G43" i="156"/>
  <c r="I39" i="156"/>
  <c r="H36" i="156"/>
  <c r="I34" i="156"/>
  <c r="G32" i="156"/>
  <c r="G48" i="156"/>
  <c r="I43" i="156"/>
  <c r="H41" i="156"/>
  <c r="G39" i="156"/>
  <c r="G34" i="156"/>
  <c r="I30" i="156"/>
  <c r="G30" i="156"/>
  <c r="G30" i="180"/>
  <c r="G32" i="180"/>
  <c r="G34" i="180"/>
  <c r="G36" i="180"/>
  <c r="G39" i="180"/>
  <c r="G41" i="180"/>
  <c r="G43" i="180"/>
  <c r="G45" i="180"/>
  <c r="G48" i="180"/>
  <c r="I30" i="180"/>
  <c r="I32" i="180"/>
  <c r="I34" i="180"/>
  <c r="I36" i="180"/>
  <c r="I39" i="180"/>
  <c r="I41" i="180"/>
  <c r="I43" i="180"/>
  <c r="I45" i="180"/>
  <c r="I48" i="180"/>
  <c r="H30" i="180"/>
  <c r="H32" i="180"/>
  <c r="H34" i="180"/>
  <c r="H36" i="180"/>
  <c r="H39" i="180"/>
  <c r="H41" i="180"/>
  <c r="H43" i="180"/>
  <c r="H45" i="180"/>
  <c r="H48" i="180"/>
  <c r="A19" i="171"/>
  <c r="R19" i="171"/>
  <c r="G19" i="171"/>
  <c r="O8" i="148"/>
  <c r="Y8" i="149"/>
  <c r="I43" i="151"/>
  <c r="H32" i="151"/>
  <c r="G41" i="151"/>
  <c r="U10" i="150"/>
  <c r="H30" i="151"/>
  <c r="G36" i="151"/>
  <c r="I41" i="151"/>
  <c r="H48" i="151"/>
  <c r="U10" i="154"/>
  <c r="A19" i="160"/>
  <c r="A19" i="148"/>
  <c r="G23" i="149"/>
  <c r="A9" i="155"/>
  <c r="AB23" i="156"/>
  <c r="A8" i="155"/>
  <c r="G8" i="156"/>
  <c r="I32" i="156"/>
  <c r="H39" i="156"/>
  <c r="G45" i="156"/>
  <c r="A10" i="166"/>
  <c r="A12" i="166"/>
  <c r="G30" i="169"/>
  <c r="G32" i="169"/>
  <c r="G34" i="169"/>
  <c r="G36" i="169"/>
  <c r="G39" i="169"/>
  <c r="G41" i="169"/>
  <c r="G43" i="169"/>
  <c r="G45" i="169"/>
  <c r="G48" i="169"/>
  <c r="H30" i="169"/>
  <c r="H32" i="169"/>
  <c r="H34" i="169"/>
  <c r="H36" i="169"/>
  <c r="H39" i="169"/>
  <c r="H41" i="169"/>
  <c r="H43" i="169"/>
  <c r="H45" i="169"/>
  <c r="H48" i="169"/>
  <c r="I30" i="169"/>
  <c r="I32" i="169"/>
  <c r="I34" i="169"/>
  <c r="I36" i="169"/>
  <c r="I39" i="169"/>
  <c r="I41" i="169"/>
  <c r="I43" i="169"/>
  <c r="I45" i="169"/>
  <c r="I48" i="169"/>
  <c r="O8" i="150"/>
  <c r="Y8" i="151"/>
  <c r="H41" i="151"/>
  <c r="G30" i="151"/>
  <c r="I36" i="151"/>
  <c r="I30" i="151"/>
  <c r="H36" i="151"/>
  <c r="G43" i="151"/>
  <c r="A12" i="160"/>
  <c r="H34" i="156"/>
  <c r="G41" i="156"/>
  <c r="I45" i="156"/>
  <c r="H30" i="165"/>
  <c r="H32" i="165"/>
  <c r="H34" i="165"/>
  <c r="H36" i="165"/>
  <c r="H39" i="165"/>
  <c r="H41" i="165"/>
  <c r="H43" i="165"/>
  <c r="H45" i="165"/>
  <c r="H48" i="165"/>
  <c r="I30" i="165"/>
  <c r="I32" i="165"/>
  <c r="I34" i="165"/>
  <c r="I36" i="165"/>
  <c r="I39" i="165"/>
  <c r="I41" i="165"/>
  <c r="I43" i="165"/>
  <c r="I45" i="165"/>
  <c r="I48" i="165"/>
  <c r="M19" i="168"/>
  <c r="G19" i="168"/>
  <c r="R19" i="168"/>
  <c r="O12" i="172"/>
  <c r="O10" i="172"/>
  <c r="O8" i="172"/>
  <c r="Y8" i="180"/>
  <c r="A15" i="178"/>
  <c r="I40" i="87"/>
  <c r="I16" i="87"/>
  <c r="G11" i="178"/>
  <c r="I20" i="87"/>
  <c r="I63" i="87"/>
  <c r="I101" i="87"/>
  <c r="P98" i="87"/>
  <c r="W92" i="87"/>
  <c r="AD80" i="87"/>
  <c r="P23" i="181"/>
  <c r="I22" i="87"/>
  <c r="P23" i="87"/>
  <c r="A10" i="134"/>
  <c r="A9" i="134"/>
  <c r="AB23" i="135"/>
  <c r="A12" i="128"/>
  <c r="A11" i="128"/>
  <c r="G10" i="128"/>
  <c r="A8" i="128"/>
  <c r="G8" i="129"/>
  <c r="A12" i="126"/>
  <c r="A12" i="122"/>
  <c r="O9" i="120"/>
  <c r="O9" i="112"/>
  <c r="O12" i="116"/>
  <c r="A10" i="112"/>
  <c r="O12" i="120"/>
  <c r="O10" i="132"/>
  <c r="G10" i="112"/>
  <c r="O10" i="120"/>
  <c r="U10" i="132"/>
  <c r="O10" i="136"/>
  <c r="G10" i="134"/>
  <c r="U10" i="120"/>
  <c r="O9" i="132"/>
  <c r="U10" i="136"/>
  <c r="O8" i="162"/>
  <c r="Y8" i="163"/>
  <c r="U10" i="162"/>
  <c r="O9" i="162"/>
  <c r="O12" i="162"/>
  <c r="G10" i="162"/>
  <c r="A10" i="162"/>
  <c r="W19" i="181"/>
  <c r="AD29" i="181"/>
  <c r="AB53" i="181"/>
  <c r="G10" i="145"/>
  <c r="A10" i="145"/>
  <c r="A8" i="145"/>
  <c r="G8" i="146"/>
  <c r="G10" i="140"/>
  <c r="A8" i="140"/>
  <c r="G8" i="141"/>
  <c r="A10" i="140"/>
  <c r="A9" i="140"/>
  <c r="AB23" i="141"/>
  <c r="P96" i="181"/>
  <c r="P35" i="181"/>
  <c r="P35" i="87"/>
  <c r="O8" i="136"/>
  <c r="Y8" i="137"/>
  <c r="G10" i="122"/>
  <c r="U10" i="114"/>
  <c r="O9" i="134"/>
  <c r="O10" i="134"/>
  <c r="O12" i="134"/>
  <c r="A12" i="130"/>
  <c r="O10" i="126"/>
  <c r="U10" i="126"/>
  <c r="O8" i="126"/>
  <c r="Y8" i="127"/>
  <c r="O9" i="126"/>
  <c r="O9" i="124"/>
  <c r="O10" i="124"/>
  <c r="O12" i="122"/>
  <c r="U10" i="122"/>
  <c r="O10" i="122"/>
  <c r="O9" i="122"/>
  <c r="A10" i="118"/>
  <c r="A9" i="118"/>
  <c r="AB23" i="119"/>
  <c r="G10" i="118"/>
  <c r="A10" i="116"/>
  <c r="A11" i="116"/>
  <c r="O9" i="114"/>
  <c r="O12" i="114"/>
  <c r="A8" i="130"/>
  <c r="G8" i="131"/>
  <c r="A12" i="140"/>
  <c r="G10" i="130"/>
  <c r="O8" i="130"/>
  <c r="Y8" i="131"/>
  <c r="O12" i="130"/>
  <c r="H10" i="181"/>
  <c r="I10" i="181"/>
  <c r="H8" i="181"/>
  <c r="O11" i="114"/>
  <c r="O11" i="118"/>
  <c r="O11" i="120"/>
  <c r="O11" i="138"/>
  <c r="G11" i="122"/>
  <c r="G11" i="124"/>
  <c r="O11" i="130"/>
  <c r="G11" i="130"/>
  <c r="O11" i="140"/>
  <c r="O11" i="158"/>
  <c r="G11" i="162"/>
  <c r="G11" i="166"/>
  <c r="O11" i="164"/>
  <c r="O11" i="122"/>
  <c r="O11" i="136"/>
  <c r="G11" i="148"/>
  <c r="O11" i="126"/>
  <c r="G11" i="128"/>
  <c r="G11" i="132"/>
  <c r="G11" i="134"/>
  <c r="G11" i="138"/>
  <c r="G11" i="154"/>
  <c r="O11" i="166"/>
  <c r="G11" i="112"/>
  <c r="O11" i="124"/>
  <c r="O11" i="132"/>
  <c r="G11" i="140"/>
  <c r="O11" i="112"/>
  <c r="O11" i="134"/>
  <c r="G11" i="158"/>
  <c r="G11" i="160"/>
  <c r="G11" i="145"/>
  <c r="O11" i="150"/>
  <c r="G11" i="155"/>
  <c r="O11" i="168"/>
  <c r="O11" i="171"/>
  <c r="G11" i="172"/>
  <c r="A12" i="114"/>
  <c r="U10" i="112"/>
  <c r="G11" i="114"/>
  <c r="G11" i="118"/>
  <c r="A9" i="120"/>
  <c r="AB23" i="121"/>
  <c r="G10" i="120"/>
  <c r="A11" i="120"/>
  <c r="A10" i="114"/>
  <c r="O12" i="112"/>
  <c r="U10" i="118"/>
  <c r="O10" i="118"/>
  <c r="O8" i="118"/>
  <c r="Y8" i="119"/>
  <c r="A9" i="114"/>
  <c r="AB23" i="115"/>
  <c r="O9" i="118"/>
  <c r="O9" i="145"/>
  <c r="U10" i="145"/>
  <c r="B16" i="88"/>
  <c r="C63" i="87"/>
  <c r="AB23" i="157"/>
  <c r="M23" i="178"/>
  <c r="C40" i="181"/>
  <c r="Z19" i="15"/>
  <c r="C47" i="87"/>
  <c r="Z23" i="15"/>
  <c r="C57" i="87"/>
  <c r="C65" i="87"/>
  <c r="B11" i="86"/>
  <c r="C16" i="181"/>
  <c r="C53" i="87"/>
  <c r="B9" i="86"/>
  <c r="Z22" i="15"/>
  <c r="I99" i="181"/>
  <c r="B7" i="86"/>
  <c r="Z20" i="15"/>
  <c r="C38" i="181"/>
  <c r="B6" i="86"/>
  <c r="Z21" i="15"/>
  <c r="I63" i="181"/>
  <c r="C34" i="181"/>
  <c r="C59" i="87"/>
  <c r="C45" i="87"/>
  <c r="I87" i="87"/>
  <c r="P86" i="87"/>
  <c r="C51" i="87"/>
  <c r="Z18" i="15"/>
  <c r="I87" i="181"/>
  <c r="P86" i="181"/>
  <c r="G1" i="170"/>
  <c r="G1" i="180"/>
  <c r="L6" i="137"/>
  <c r="L6" i="146"/>
  <c r="L6" i="125"/>
  <c r="M23" i="140"/>
  <c r="L6" i="119"/>
  <c r="L6" i="117"/>
  <c r="M23" i="112"/>
  <c r="P62" i="181"/>
  <c r="W66" i="181"/>
  <c r="AD78" i="181"/>
  <c r="AB56" i="181"/>
  <c r="E24" i="193"/>
  <c r="E24" i="195"/>
  <c r="E17" i="193"/>
  <c r="E17" i="195"/>
  <c r="E19" i="193"/>
  <c r="E19" i="195"/>
  <c r="E27" i="193"/>
  <c r="E27" i="195"/>
  <c r="C12" i="193"/>
  <c r="C12" i="195"/>
  <c r="E15" i="193"/>
  <c r="E15" i="195"/>
  <c r="E21" i="193"/>
  <c r="E21" i="195"/>
  <c r="E22" i="193"/>
  <c r="E22" i="195"/>
  <c r="G23" i="115"/>
  <c r="G23" i="146"/>
  <c r="G23" i="167"/>
  <c r="S6" i="167"/>
  <c r="W90" i="87"/>
  <c r="G23" i="129"/>
  <c r="S6" i="156"/>
  <c r="S6" i="161"/>
  <c r="L6" i="167"/>
  <c r="S6" i="159"/>
  <c r="L6" i="169"/>
  <c r="S6" i="157"/>
  <c r="L6" i="170"/>
  <c r="AB53" i="87"/>
  <c r="AB23" i="170"/>
  <c r="M23" i="172"/>
  <c r="L6" i="149"/>
  <c r="E6" i="156"/>
  <c r="P13" i="87"/>
  <c r="T6" i="179"/>
  <c r="L6" i="163"/>
  <c r="M23" i="128"/>
  <c r="E6" i="157"/>
  <c r="L6" i="123"/>
  <c r="M23" i="152"/>
  <c r="E6" i="161"/>
  <c r="E6" i="159"/>
  <c r="E6" i="153"/>
  <c r="L6" i="139"/>
  <c r="L6" i="159"/>
  <c r="L6" i="157"/>
  <c r="L6" i="153"/>
  <c r="L6" i="156"/>
  <c r="L6" i="161"/>
  <c r="G23" i="161"/>
  <c r="L6" i="151"/>
  <c r="L6" i="127"/>
  <c r="M23" i="132"/>
  <c r="M23" i="114"/>
  <c r="L6" i="121"/>
  <c r="L6" i="135"/>
  <c r="G23" i="135"/>
  <c r="L6" i="131"/>
  <c r="L6" i="91"/>
  <c r="G23" i="141"/>
  <c r="G23" i="91"/>
  <c r="G23" i="151"/>
  <c r="G23" i="119"/>
  <c r="F23" i="17"/>
  <c r="G23" i="169"/>
  <c r="G23" i="137"/>
  <c r="G23" i="125"/>
  <c r="Y5" i="152"/>
  <c r="AH6" i="151"/>
  <c r="G23" i="180"/>
  <c r="G23" i="170"/>
  <c r="L6" i="17"/>
  <c r="B3" i="86"/>
  <c r="Y8" i="91"/>
  <c r="AB23" i="91"/>
  <c r="I99" i="87"/>
  <c r="B4" i="86"/>
  <c r="C10" i="181"/>
  <c r="B8" i="86"/>
  <c r="Z24" i="15"/>
  <c r="I14" i="181"/>
  <c r="B5" i="86"/>
  <c r="Z25" i="15"/>
  <c r="B10" i="86"/>
  <c r="Y5" i="154"/>
  <c r="AH6" i="157"/>
  <c r="Y5" i="155"/>
  <c r="AH6" i="153"/>
  <c r="AH6" i="156"/>
  <c r="Y5" i="158"/>
  <c r="Y5" i="160"/>
  <c r="Y5" i="162"/>
  <c r="AH6" i="159"/>
  <c r="I26" i="87"/>
  <c r="A8" i="118"/>
  <c r="G8" i="119"/>
  <c r="A8" i="116"/>
  <c r="G8" i="117"/>
  <c r="A8" i="120"/>
  <c r="G8" i="121"/>
  <c r="A8" i="114"/>
  <c r="G8" i="115"/>
  <c r="A8" i="112"/>
  <c r="G8" i="113"/>
  <c r="I32" i="181"/>
  <c r="I26" i="181"/>
  <c r="I32" i="87"/>
  <c r="I38" i="181"/>
  <c r="P37" i="181"/>
  <c r="G8" i="91"/>
  <c r="I8" i="181"/>
  <c r="P11" i="181"/>
  <c r="W17" i="181"/>
  <c r="Y5" i="164"/>
  <c r="AH6" i="163"/>
  <c r="AH6" i="165"/>
  <c r="Y5" i="166"/>
  <c r="Y5" i="168"/>
  <c r="AH6" i="167"/>
  <c r="Y5" i="171"/>
  <c r="AH6" i="169"/>
  <c r="Y5" i="172"/>
  <c r="AH6" i="180"/>
  <c r="AH6" i="170"/>
  <c r="C8" i="181"/>
  <c r="G8" i="17"/>
  <c r="A10" i="19"/>
  <c r="G10" i="19"/>
  <c r="A9" i="19"/>
  <c r="AB23" i="17"/>
  <c r="F8" i="87"/>
  <c r="B2" i="86"/>
  <c r="F8" i="181"/>
  <c r="F4" i="193"/>
  <c r="Z17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tc={CC157415-3C04-4481-A25E-F98E67A9F4A7}</author>
  </authors>
  <commentList>
    <comment ref="B25" authorId="0" shapeId="0" xr:uid="{00000000-0006-0000-02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Zelen 26 bis 34 sind ausgeblendet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41706069-BF77-4032-BB94-1DDF2058A302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BB3A4672-5CD4-4A1A-B8FB-9FA4C26AFD51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9E407CDF-512E-40C7-9A6B-477859CC21A3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627F361F-29DA-49AF-87BA-098AD20E557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27DA826B-150B-42ED-8531-7B385995154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D4EACEA7-5699-4EFC-8625-B92534AB1B45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0D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0D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0D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0D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0D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0F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0F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0F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0F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0F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1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1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1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1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1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3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3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3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5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5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5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5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7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7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7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7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7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9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9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9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9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9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B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B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B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B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B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D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D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D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D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D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</author>
  </authors>
  <commentList>
    <comment ref="G5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Bruno: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Spalte H ist Hilfsspalte ist ausgeblendet eingabe Mannschafts Nummer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1F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1F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1F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1F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1F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1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1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1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1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1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3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3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3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3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3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5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5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5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5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5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7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7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7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7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7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9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9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9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9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9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B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B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B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B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B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D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D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D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D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D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2F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2F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2F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2F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2F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31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31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1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1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1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</author>
  </authors>
  <commentList>
    <comment ref="G6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Bruno: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Spalte H ist Hilfsspalte ist ausgeblendet eingabe Mannschafts Nummer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33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33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3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3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3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35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35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5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5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5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37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37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7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7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7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39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A6" authorId="0" shapeId="0" xr:uid="{00000000-0006-0000-39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9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9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9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tc={01C27DB4-D966-416A-B58F-5171063116E3}</author>
  </authors>
  <commentList>
    <comment ref="A2" authorId="0" shapeId="0" xr:uid="{00000000-0006-0000-3B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3B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3B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B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B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B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tc={7C46B73D-775D-4D17-A640-7C5BEC7BC3B5}</author>
  </authors>
  <commentList>
    <comment ref="A2" authorId="0" shapeId="0" xr:uid="{00000000-0006-0000-3D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3D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3D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D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D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D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tc={6EFE8445-3CEF-4156-98A7-D8C4FFA1068D}</author>
  </authors>
  <commentList>
    <comment ref="A2" authorId="0" shapeId="0" xr:uid="{00000000-0006-0000-3F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3F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3F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3F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3F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3F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tc={6AB3D016-53CC-4207-9924-B908BD225608}</author>
  </authors>
  <commentList>
    <comment ref="A2" authorId="0" shapeId="0" xr:uid="{00000000-0006-0000-41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41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41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41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41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41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tc={27B4E842-9A7D-4C35-B33F-6F5B62443E89}</author>
  </authors>
  <commentList>
    <comment ref="A2" authorId="0" shapeId="0" xr:uid="{00000000-0006-0000-43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43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43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43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43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43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tc={A856691E-F1C3-498C-B25B-439B605D24F9}</author>
  </authors>
  <commentList>
    <comment ref="A2" authorId="0" shapeId="0" xr:uid="{00000000-0006-0000-45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45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45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45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45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45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00000000-0006-0000-09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00000000-0006-0000-09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00000000-0006-0000-09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09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09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09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tc={1E920F58-8924-4E53-B375-318D5F1FEB24}</author>
  </authors>
  <commentList>
    <comment ref="A2" authorId="0" shapeId="0" xr:uid="{EE5F07A0-52D5-4A7D-8E67-300A0D88055D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1E920F58-8924-4E53-B375-318D5F1FEB2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6907E61E-4D11-4346-9E4A-DCEAF4238CAF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2E49AD73-3E42-4D1C-A4D3-84DADDDE4B3E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9368B314-FB13-4B1E-8828-4C299A642A02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4C1945B5-8490-4947-965E-0A0E6C9EA5D7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tc={7441431E-9D6B-4640-9B3C-520E212DD8A3}</author>
  </authors>
  <commentList>
    <comment ref="A2" authorId="0" shapeId="0" xr:uid="{00000000-0006-0000-47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
zB Vorrunde, 1/16 Final usw
</t>
        </r>
      </text>
    </comment>
    <comment ref="D2" authorId="1" shapeId="0" xr:uid="{00000000-0006-0000-47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Final z.B 1/8 Final</t>
      </text>
    </comment>
    <comment ref="A6" authorId="0" shapeId="0" xr:uid="{00000000-0006-0000-47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47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47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47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  <author>tc={6D479666-5B95-43EE-88D8-6FF055D01AEC}</author>
    <author>tc={9B97F09D-629A-4438-8B5A-F630B3F4FFD7}</author>
  </authors>
  <commentList>
    <comment ref="A2" authorId="0" shapeId="0" xr:uid="{00000000-0006-0000-49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00000000-0006-0000-49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00000000-0006-0000-4900-000003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00000000-0006-0000-4900-000004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00000000-0006-0000-4900-000005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0000000-0006-0000-4900-000006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  <comment ref="L16" authorId="1" shapeId="0" xr:uid="{00000000-0006-0000-4900-000007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Schiri Nummer</t>
      </text>
    </comment>
    <comment ref="R16" authorId="2" shapeId="0" xr:uid="{00000000-0006-0000-4900-000008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Eingabe Schiri Nummer</t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K8" authorId="0" shapeId="0" xr:uid="{00000000-0006-0000-4A00-000001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Zahlen in Spalte AL in Weiss Geschreiben Hilfspalte</t>
        </r>
      </text>
    </comment>
    <comment ref="B9" authorId="0" shapeId="0" xr:uid="{00000000-0006-0000-4A00-00000200000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Zaheln in Spalte A weiss geschrieben Hilfsspalte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77DC6348-199E-44A5-B951-C8115759EF06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06AE4A95-2AE9-49F0-894B-AF8C7E46ABF9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7ACE54EB-F4F6-4C32-B05D-F7A51C82D67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A8972CC5-BB67-445F-8175-270E4544873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D692FEF5-37E5-4206-A41C-E729EB60D50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CCA5736F-8BFC-4C1E-B622-67C3298B3714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4C3E626F-10B2-48F3-8893-E68ADB4BC40D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25814A4E-1C05-4470-B893-A880ED8AF43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C4D34A2D-F702-453D-BA46-978D5AF00EA7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211C55D3-468E-49F5-A83B-A2DDCC8A8C92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89034C6A-42D7-438C-B13D-94B7E9EBDAA2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3447F639-F35B-42FF-AC66-58C83EAB6008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3CAED478-FCE1-4AC6-8EC0-B21D1A52BB8A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CA79F4C0-A077-4ADE-BA39-52BE7D404FAE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7A40C503-5A2C-44F3-9C67-7542F53C3A89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C1D8305E-1D82-448D-84C0-4F5CD9954F9E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78DF7546-C3BC-42ED-8D04-AB54924AC68D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B06FC932-D6E0-41B3-BCD8-7E171DA1FEC7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B43EF481-60BB-4246-9086-63EBE9E5F673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030BFE70-4D55-4E98-88E6-25801173DC46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6E9C5099-9978-4F36-B887-A11180BEFF41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5319138B-A4BF-420C-BD30-20E5AA39812F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2979FBB5-E2DB-4C36-B5EA-6C2AA5F30850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8BB30F0B-41E4-4F0F-A1BD-2D1D515EE731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Bruno Pabst</author>
  </authors>
  <commentList>
    <comment ref="A2" authorId="0" shapeId="0" xr:uid="{AE358725-63E2-4018-BB6E-F9EC970C5BDD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ist in weiss geschrieben Final 
Final Bezeichnung</t>
        </r>
      </text>
    </comment>
    <comment ref="F2" authorId="0" shapeId="0" xr:uid="{29B76869-3E4A-41B0-A0E5-881A18EB289B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In Weiss Geschrieben 
für Spielwoche
</t>
        </r>
      </text>
    </comment>
    <comment ref="A6" authorId="0" shapeId="0" xr:uid="{0878A038-1D6F-4370-A228-32738339CB7F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im weiss geschrieben für die Mannschaft angaben
Bezug auf das Eingabe blatt
Heimmannschaft</t>
        </r>
      </text>
    </comment>
    <comment ref="O6" authorId="0" shapeId="0" xr:uid="{1AA10EE1-4167-485B-A7C4-19AC255F3E6F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Zahl in weiss geschrieben für die Mannschaft und Adresse Gast mannschaft</t>
        </r>
      </text>
    </comment>
    <comment ref="C13" authorId="0" shapeId="0" xr:uid="{B4C1E3C4-C0F1-4365-8B28-E38F4D1DF009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 weiss geschrieben für Datum, Zeit, Ort, Sportplatz</t>
        </r>
      </text>
    </comment>
    <comment ref="C16" authorId="0" shapeId="0" xr:uid="{09AA9BA6-50C8-462B-A4DA-8C6CE7AE5AD3}">
      <text>
        <r>
          <rPr>
            <b/>
            <sz val="9"/>
            <color indexed="81"/>
            <rFont val="Segoe UI"/>
            <family val="2"/>
          </rPr>
          <t>Bruno Pabst:</t>
        </r>
        <r>
          <rPr>
            <sz val="9"/>
            <color indexed="81"/>
            <rFont val="Segoe UI"/>
            <family val="2"/>
          </rPr>
          <t xml:space="preserve">
Zahl inweiss geschrieben für den Schiri der das Spiel leitet</t>
        </r>
      </text>
    </comment>
  </commentList>
</comments>
</file>

<file path=xl/sharedStrings.xml><?xml version="1.0" encoding="utf-8"?>
<sst xmlns="http://schemas.openxmlformats.org/spreadsheetml/2006/main" count="11148" uniqueCount="1371">
  <si>
    <t>Zeit</t>
  </si>
  <si>
    <t>A</t>
  </si>
  <si>
    <t>B</t>
  </si>
  <si>
    <t>:</t>
  </si>
  <si>
    <t>Peter</t>
  </si>
  <si>
    <t>Datum</t>
  </si>
  <si>
    <t>Ort</t>
  </si>
  <si>
    <t>Verein</t>
  </si>
  <si>
    <t>Strasse</t>
  </si>
  <si>
    <t>PLZ</t>
  </si>
  <si>
    <t>Tel</t>
  </si>
  <si>
    <t>Natel</t>
  </si>
  <si>
    <t>E - Mail</t>
  </si>
  <si>
    <t>Zürich</t>
  </si>
  <si>
    <t>Pascal</t>
  </si>
  <si>
    <t>Kunz</t>
  </si>
  <si>
    <t>Stefan</t>
  </si>
  <si>
    <t>Beringen</t>
  </si>
  <si>
    <t>Michael</t>
  </si>
  <si>
    <t>Diepoldsau</t>
  </si>
  <si>
    <t>Jona</t>
  </si>
  <si>
    <t>Marco</t>
  </si>
  <si>
    <t>Andreas</t>
  </si>
  <si>
    <t>Roger</t>
  </si>
  <si>
    <t>Marcel</t>
  </si>
  <si>
    <t>Schaffhausen</t>
  </si>
  <si>
    <t>Jürg</t>
  </si>
  <si>
    <t>Schmiedrued</t>
  </si>
  <si>
    <t>Schweri</t>
  </si>
  <si>
    <t>Seuzach</t>
  </si>
  <si>
    <t>Graf</t>
  </si>
  <si>
    <t>Daniel</t>
  </si>
  <si>
    <t>Waldkirch</t>
  </si>
  <si>
    <t>P.P</t>
  </si>
  <si>
    <t>8512 Thundorf</t>
  </si>
  <si>
    <t>A-PRIORITY</t>
  </si>
  <si>
    <t xml:space="preserve">Name </t>
  </si>
  <si>
    <t>Vorname</t>
  </si>
  <si>
    <t>pabst@swissfaustball.ch</t>
  </si>
  <si>
    <t>Name</t>
  </si>
  <si>
    <t>Heim - Mannschaft</t>
  </si>
  <si>
    <t>Gast - Mannschaft</t>
  </si>
  <si>
    <t>Veband</t>
  </si>
  <si>
    <t>Marc</t>
  </si>
  <si>
    <t>Jg</t>
  </si>
  <si>
    <t>Tel.G</t>
  </si>
  <si>
    <t>E-Mail</t>
  </si>
  <si>
    <t>Cavasin</t>
  </si>
  <si>
    <t>Bruno</t>
  </si>
  <si>
    <t>Leu</t>
  </si>
  <si>
    <t>Reto</t>
  </si>
  <si>
    <t>Oberuzwil</t>
  </si>
  <si>
    <t>rmaehr@bluewin.ch</t>
  </si>
  <si>
    <t>STV Olten</t>
  </si>
  <si>
    <t>Meier</t>
  </si>
  <si>
    <t>Gutenswil</t>
  </si>
  <si>
    <t>Meyerhans</t>
  </si>
  <si>
    <t>Richard</t>
  </si>
  <si>
    <t>Rheineck</t>
  </si>
  <si>
    <t>richi4fistball@bluewin.ch</t>
  </si>
  <si>
    <t>Müller</t>
  </si>
  <si>
    <t>Derendingen</t>
  </si>
  <si>
    <t>Martin</t>
  </si>
  <si>
    <t>René</t>
  </si>
  <si>
    <t>Götsch</t>
  </si>
  <si>
    <t>Jörg</t>
  </si>
  <si>
    <t>Bürglen TG</t>
  </si>
  <si>
    <t>j.goetsch@gmx.ch</t>
  </si>
  <si>
    <t>Häner</t>
  </si>
  <si>
    <t>Rolf</t>
  </si>
  <si>
    <t>Hochuli</t>
  </si>
  <si>
    <t>STV Schlossrued</t>
  </si>
  <si>
    <t>STV Tecknau</t>
  </si>
  <si>
    <t>Wallisellen</t>
  </si>
  <si>
    <t>STV Wallisellen</t>
  </si>
  <si>
    <t>Ruedi</t>
  </si>
  <si>
    <t>STV Embrach</t>
  </si>
  <si>
    <t>Olten</t>
  </si>
  <si>
    <t>Embrach</t>
  </si>
  <si>
    <t>Fredy</t>
  </si>
  <si>
    <t>Zahner</t>
  </si>
  <si>
    <t>Christian</t>
  </si>
  <si>
    <t>Manfred</t>
  </si>
  <si>
    <t>Sprenger</t>
  </si>
  <si>
    <t>STV Affeltrangen</t>
  </si>
  <si>
    <t>Steinauer</t>
  </si>
  <si>
    <t>Tenini</t>
  </si>
  <si>
    <t>STV Wigoltingen</t>
  </si>
  <si>
    <t>Ziereisen</t>
  </si>
  <si>
    <t>Hagenbuch</t>
  </si>
  <si>
    <t>Lyssach</t>
  </si>
  <si>
    <t>kunz_10@yahoo.de</t>
  </si>
  <si>
    <t>Stürchler</t>
  </si>
  <si>
    <t>Alexander</t>
  </si>
  <si>
    <t>Sieger</t>
  </si>
  <si>
    <t>9. Satz</t>
  </si>
  <si>
    <t>8. Satz</t>
  </si>
  <si>
    <t>7. Satz</t>
  </si>
  <si>
    <t>6. Satz</t>
  </si>
  <si>
    <t>5. Satz</t>
  </si>
  <si>
    <t>4. Satz</t>
  </si>
  <si>
    <t>3. Satz</t>
  </si>
  <si>
    <t>2. Satz</t>
  </si>
  <si>
    <t>1. Satz</t>
  </si>
  <si>
    <t xml:space="preserve">            Spielbericht</t>
  </si>
  <si>
    <t xml:space="preserve">Datum:  </t>
  </si>
  <si>
    <t xml:space="preserve"> Spiel-Nr.:</t>
  </si>
  <si>
    <t>Mannschaft A:</t>
  </si>
  <si>
    <t>Verw.</t>
  </si>
  <si>
    <t>Mannschaft B:</t>
  </si>
  <si>
    <t>Nr.</t>
  </si>
  <si>
    <t>Spf.</t>
  </si>
  <si>
    <t>Eins.</t>
  </si>
  <si>
    <t>Name/Vorname</t>
  </si>
  <si>
    <t xml:space="preserve"> Trainer:</t>
  </si>
  <si>
    <t>Trainer:</t>
  </si>
  <si>
    <t xml:space="preserve"> Betreuer:</t>
  </si>
  <si>
    <t xml:space="preserve"> Schiedsrichter:</t>
  </si>
  <si>
    <t xml:space="preserve"> Linienrichter:</t>
  </si>
  <si>
    <t>Ballwahl/Anspiel:</t>
  </si>
  <si>
    <t xml:space="preserve">Ausserordentliche Vorfälle:  </t>
  </si>
  <si>
    <t></t>
  </si>
  <si>
    <t>Protest/Einsprache</t>
  </si>
  <si>
    <t>Ausschluss</t>
  </si>
  <si>
    <t>Sonstiges</t>
  </si>
  <si>
    <t>(Ankreuzen + Bericht mit Unterschrift auf Rückseite)</t>
  </si>
  <si>
    <t>Timeout</t>
  </si>
  <si>
    <t xml:space="preserve"> Ergebnis    (A:B) </t>
  </si>
  <si>
    <t>Endstand (Sätze)</t>
  </si>
  <si>
    <t xml:space="preserve"> Für die Richtigkeit der Eintragungen</t>
  </si>
  <si>
    <t>Spielführer A:</t>
  </si>
  <si>
    <t xml:space="preserve"> Anschreiber:</t>
  </si>
  <si>
    <t xml:space="preserve"> Spielführer B:</t>
  </si>
  <si>
    <t>Sportplatz</t>
  </si>
  <si>
    <t/>
  </si>
  <si>
    <t>Simon</t>
  </si>
  <si>
    <t>Ref_Nr</t>
  </si>
  <si>
    <t>Oberwinterthur 1 (NLB )</t>
  </si>
  <si>
    <t>Walter</t>
  </si>
  <si>
    <t>Fabian</t>
  </si>
  <si>
    <t>Weder</t>
  </si>
  <si>
    <t>Elgg-Ettenhausen  ( NLA )</t>
  </si>
  <si>
    <t xml:space="preserve">Jona   ( NLA )  </t>
  </si>
  <si>
    <t>Oberentfelden   ( NLA )</t>
  </si>
  <si>
    <t>Widnau   ( NLA )</t>
  </si>
  <si>
    <t>Wigoltingen   ( NLA )</t>
  </si>
  <si>
    <t>Mühleweg 15</t>
  </si>
  <si>
    <t>Balgach</t>
  </si>
  <si>
    <t>Schiegg</t>
  </si>
  <si>
    <t>Christoff</t>
  </si>
  <si>
    <t>rfrf@sunrise.ch</t>
  </si>
  <si>
    <t>Total Punkte</t>
  </si>
  <si>
    <t>Heimmannschaft Verantw.</t>
  </si>
  <si>
    <t>Daten CH CUP</t>
  </si>
  <si>
    <t>Resultatmeldung</t>
  </si>
  <si>
    <t>Spiel - Nr.</t>
  </si>
  <si>
    <t>Sätze</t>
  </si>
  <si>
    <t>Fahrspesen</t>
  </si>
  <si>
    <t>1/8 Final</t>
  </si>
  <si>
    <t>1/4 Final</t>
  </si>
  <si>
    <t>1/2 Final</t>
  </si>
  <si>
    <t>Final</t>
  </si>
  <si>
    <t>Pause nach  4 Sätzen max 5 Min.</t>
  </si>
  <si>
    <t>Tenue:</t>
  </si>
  <si>
    <t>Spielmodus:</t>
  </si>
  <si>
    <t>Fr.</t>
  </si>
  <si>
    <t>Friedlos</t>
  </si>
  <si>
    <t>Back</t>
  </si>
  <si>
    <t>Basel</t>
  </si>
  <si>
    <t>rene.back@bluewin.ch</t>
  </si>
  <si>
    <t>056 241 19 75</t>
  </si>
  <si>
    <t>Stoffel</t>
  </si>
  <si>
    <t>Luzern</t>
  </si>
  <si>
    <t>Thomas</t>
  </si>
  <si>
    <t>FB Neuendorf</t>
  </si>
  <si>
    <t>Burkhalter</t>
  </si>
  <si>
    <t>Claudine</t>
  </si>
  <si>
    <t>Unterengstringen</t>
  </si>
  <si>
    <t>STV Schlieren</t>
  </si>
  <si>
    <t>c.burkhalter@cesis.ch</t>
  </si>
  <si>
    <t>Patrick</t>
  </si>
  <si>
    <t>Satus Schlieren</t>
  </si>
  <si>
    <t>burkipa@hotmail.com</t>
  </si>
  <si>
    <t>Egli</t>
  </si>
  <si>
    <t>STV Staffelbach</t>
  </si>
  <si>
    <t>SATUS Basel NS</t>
  </si>
  <si>
    <t>mar.kunz@hispeed.ch</t>
  </si>
  <si>
    <t>Lüdi</t>
  </si>
  <si>
    <t>Nelkenweg 12</t>
  </si>
  <si>
    <t>Roggwil</t>
  </si>
  <si>
    <t>dluedi@besonet.ch</t>
  </si>
  <si>
    <t>Felben-Wellhausen</t>
  </si>
  <si>
    <t>Raschle</t>
  </si>
  <si>
    <t>Buhwil</t>
  </si>
  <si>
    <t>STV Ermatingen</t>
  </si>
  <si>
    <t>thomas.raschle@bluewin.ch</t>
  </si>
  <si>
    <t>Sascha</t>
  </si>
  <si>
    <t>Wil</t>
  </si>
  <si>
    <t>sapesch@googlemail.com</t>
  </si>
  <si>
    <t>Steudler</t>
  </si>
  <si>
    <t>scroche@gmx.ch</t>
  </si>
  <si>
    <t>Wagner</t>
  </si>
  <si>
    <t>Stephan</t>
  </si>
  <si>
    <t>Niederbuchsiten</t>
  </si>
  <si>
    <t>t.s.wagner@bluewin.ch</t>
  </si>
  <si>
    <t>daniel.ziereisen@hcs-controls.ch</t>
  </si>
  <si>
    <t>Bosshart</t>
  </si>
  <si>
    <t>marco-bosshart@gmx.ch</t>
  </si>
  <si>
    <t>Roman</t>
  </si>
  <si>
    <t>Flück</t>
  </si>
  <si>
    <t>STV TSV 2001 Rotkreuz</t>
  </si>
  <si>
    <t>Niedergösgen</t>
  </si>
  <si>
    <t>Thundorf</t>
  </si>
  <si>
    <t>Pacifico</t>
  </si>
  <si>
    <t>Fabio</t>
  </si>
  <si>
    <t>f.pacifico@bluewin.ch</t>
  </si>
  <si>
    <t>Schmid</t>
  </si>
  <si>
    <t>Michel</t>
  </si>
  <si>
    <t>Allschwil</t>
  </si>
  <si>
    <t>BTV Basel</t>
  </si>
  <si>
    <t>schmid.michel@sunrise.ch</t>
  </si>
  <si>
    <t>Sieber</t>
  </si>
  <si>
    <t>sieber.patrick@rsnweb.ch</t>
  </si>
  <si>
    <t>Soller</t>
  </si>
  <si>
    <t>Stanger</t>
  </si>
  <si>
    <t>Reiden</t>
  </si>
  <si>
    <t>MR Reiden</t>
  </si>
  <si>
    <t>carhartt_marc93@hotmail.com</t>
  </si>
  <si>
    <t>Winterthur</t>
  </si>
  <si>
    <t>Anm</t>
  </si>
  <si>
    <t>Bez</t>
  </si>
  <si>
    <t>Beeler</t>
  </si>
  <si>
    <t>Wollerau</t>
  </si>
  <si>
    <t>Lorenz</t>
  </si>
  <si>
    <t>Moser</t>
  </si>
  <si>
    <t>lorenz.moser@hotmail.com</t>
  </si>
  <si>
    <t>Offizielle Schiedsrichterausrüstung gelb / schwarz</t>
  </si>
  <si>
    <t>Aufgebot Mannschaften</t>
  </si>
  <si>
    <t>Aufgebot Schiedsrichter *</t>
  </si>
  <si>
    <t>Bonus-Punkte:</t>
  </si>
  <si>
    <t>Eintreffen des Schiedsrichters:</t>
  </si>
  <si>
    <t>Modus</t>
  </si>
  <si>
    <t xml:space="preserve">Thundorf, </t>
  </si>
  <si>
    <r>
      <t>Durchführung:</t>
    </r>
    <r>
      <rPr>
        <sz val="11"/>
        <rFont val="Arial"/>
        <family val="2"/>
      </rPr>
      <t xml:space="preserve">
</t>
    </r>
  </si>
  <si>
    <r>
      <t>Bei einer allfälligen Verschiebung muss</t>
    </r>
    <r>
      <rPr>
        <b/>
        <sz val="11"/>
        <rFont val="Arial"/>
        <family val="2"/>
      </rPr>
      <t xml:space="preserve"> spätestens 5 Stunden </t>
    </r>
    <r>
      <rPr>
        <sz val="11"/>
        <rFont val="Arial"/>
        <family val="2"/>
      </rPr>
      <t>vor Spielbeginn die Gast-Mannschaft, der Schiedsrichter und deer Chef CUPKO per Telefon und SMS informiert werden.</t>
    </r>
  </si>
  <si>
    <t>5 Gewinnsätze bis 11 (max. 15 : 14)</t>
  </si>
  <si>
    <t>Mit sportlichen Grüssen
Swiss Faustball CUPKO
Bruno Pabst (Präsident)</t>
  </si>
  <si>
    <t>* Im Verhinderungsfall sofort Verbindungsaufnahme mit Bruno Pabst: 079 243 02 08</t>
  </si>
  <si>
    <t>Taggeld:</t>
  </si>
  <si>
    <t>Heinz</t>
  </si>
  <si>
    <t>steff.kunz@bluewin.ch</t>
  </si>
  <si>
    <t>Lukas</t>
  </si>
  <si>
    <t>Ziegler</t>
  </si>
  <si>
    <t>Alpnach  ( NLB )</t>
  </si>
  <si>
    <t>Nyffenegger</t>
  </si>
  <si>
    <t>Kirchberg</t>
  </si>
  <si>
    <t>Schiess</t>
  </si>
  <si>
    <t>079 913 84 85</t>
  </si>
  <si>
    <t>Wilen</t>
  </si>
  <si>
    <t>076 347 79 71</t>
  </si>
  <si>
    <t xml:space="preserve"> </t>
  </si>
  <si>
    <t>STV</t>
  </si>
  <si>
    <t>MR</t>
  </si>
  <si>
    <t>TSV</t>
  </si>
  <si>
    <t>TV</t>
  </si>
  <si>
    <t>FG</t>
  </si>
  <si>
    <t>FB</t>
  </si>
  <si>
    <t xml:space="preserve">Satus </t>
  </si>
  <si>
    <t>STV Kriens</t>
  </si>
  <si>
    <t>peterleu61@bluewin.ch</t>
  </si>
  <si>
    <t>Bühler</t>
  </si>
  <si>
    <t>Birmensdorf</t>
  </si>
  <si>
    <t>Eicher</t>
  </si>
  <si>
    <t>Hofmann</t>
  </si>
  <si>
    <t>Oberglatt</t>
  </si>
  <si>
    <t>Meili</t>
  </si>
  <si>
    <t>Rölli</t>
  </si>
  <si>
    <t>Schönenberger</t>
  </si>
  <si>
    <t>FG Rickenbach-Wilen</t>
  </si>
  <si>
    <t>marcel.eicher@thurweb.ch</t>
  </si>
  <si>
    <t>SUS Dietikon</t>
  </si>
  <si>
    <t>STV Töss</t>
  </si>
  <si>
    <t>brummbaer76@bluewin.ch</t>
  </si>
  <si>
    <t>MR Herblingen</t>
  </si>
  <si>
    <t>marco.schoenenberger@sunrise.ch</t>
  </si>
  <si>
    <t>SVD Diepoldsau</t>
  </si>
  <si>
    <t>simonsoller@hotmail.com</t>
  </si>
  <si>
    <t>Galgenen</t>
  </si>
  <si>
    <t>Haefeli</t>
  </si>
  <si>
    <t>Robin</t>
  </si>
  <si>
    <t>Markus</t>
  </si>
  <si>
    <t>Kehl</t>
  </si>
  <si>
    <t>Widnau</t>
  </si>
  <si>
    <t>Morgenthaler</t>
  </si>
  <si>
    <t>Rickenbach</t>
  </si>
  <si>
    <t>TSV Jona</t>
  </si>
  <si>
    <t>Faustball Widnau</t>
  </si>
  <si>
    <t>fam.kehl@gmail.com</t>
  </si>
  <si>
    <t>TV Rebstein</t>
  </si>
  <si>
    <t>Meier_x@hotmail.com</t>
  </si>
  <si>
    <t>f.sprenger@thurweb.ch</t>
  </si>
  <si>
    <t>dompedro.pp@gmail.com</t>
  </si>
  <si>
    <t>fabian_zahner@bluemail.ch</t>
  </si>
  <si>
    <t>Fluri</t>
  </si>
  <si>
    <t>Guntershausen</t>
  </si>
  <si>
    <t>Krautter</t>
  </si>
  <si>
    <t>Notaro</t>
  </si>
  <si>
    <t>Luigi</t>
  </si>
  <si>
    <t>Wirth</t>
  </si>
  <si>
    <t>fluri.chregu@hotmail.com</t>
  </si>
  <si>
    <t>FBS Schlieren</t>
  </si>
  <si>
    <t>heinz@krautter.ch</t>
  </si>
  <si>
    <t>STV Däniken</t>
  </si>
  <si>
    <t>FB Burgdorf</t>
  </si>
  <si>
    <t>wirthlukas@hotmail.com</t>
  </si>
  <si>
    <t>079 750 21 11</t>
  </si>
  <si>
    <t>Schneisingen ( 1. Liga )</t>
  </si>
  <si>
    <t>Birkenstr 6</t>
  </si>
  <si>
    <t>079 139 52 22</t>
  </si>
  <si>
    <t>faustball@tvkirchberg.ch</t>
  </si>
  <si>
    <t>5. Satz:</t>
  </si>
  <si>
    <t>1. Satz:</t>
  </si>
  <si>
    <t>Jg.</t>
  </si>
  <si>
    <t>Spielort:</t>
  </si>
  <si>
    <t>Zeit:</t>
  </si>
  <si>
    <t>Tel  P</t>
  </si>
  <si>
    <t>Tel  Natel</t>
  </si>
  <si>
    <t>076 592 09 17</t>
  </si>
  <si>
    <t>**</t>
  </si>
  <si>
    <r>
      <t xml:space="preserve">Die Fahrspesen (einfache Fahrt, Fr. 1,00 pro Km)  werden durch die Heim-Mannschaft bezahlt. 
</t>
    </r>
    <r>
      <rPr>
        <sz val="14"/>
        <rFont val="Arial"/>
        <family val="2"/>
      </rPr>
      <t xml:space="preserve">** </t>
    </r>
    <r>
      <rPr>
        <sz val="11"/>
        <rFont val="Arial"/>
        <family val="2"/>
      </rPr>
      <t xml:space="preserve"> (Das Taggeld wird direkt durch die CUPKO ausbezahlt.)</t>
    </r>
  </si>
  <si>
    <t>Fr</t>
  </si>
  <si>
    <t>lukas.back@bluemail.ch</t>
  </si>
  <si>
    <t>Sp No</t>
  </si>
  <si>
    <t>Aufgeb
o Schiri</t>
  </si>
  <si>
    <t>Aufgebo
an Schiri</t>
  </si>
  <si>
    <t xml:space="preserve">Mannschaft </t>
  </si>
  <si>
    <t>Mannschaft</t>
  </si>
  <si>
    <t>Resultat</t>
  </si>
  <si>
    <t xml:space="preserve">wann </t>
  </si>
  <si>
    <t xml:space="preserve">Schiri </t>
  </si>
  <si>
    <t>Km</t>
  </si>
  <si>
    <t>Sportplazt</t>
  </si>
  <si>
    <t>Thundorf,</t>
  </si>
  <si>
    <t>Bonus</t>
  </si>
  <si>
    <t>Elgg ( Senioren )</t>
  </si>
  <si>
    <t>Pfister</t>
  </si>
  <si>
    <t>Büelstr 6</t>
  </si>
  <si>
    <t>Ettenhausen</t>
  </si>
  <si>
    <t>052 365 40 56</t>
  </si>
  <si>
    <t>familie_pfister@bluewin.ch</t>
  </si>
  <si>
    <t>Mühleweg 57</t>
  </si>
  <si>
    <t>Ehrendingen</t>
  </si>
  <si>
    <t>079 376 96 25</t>
  </si>
  <si>
    <t>fabio.schiess@schiessag.ch</t>
  </si>
  <si>
    <t>tkchef@fbjona.ch</t>
  </si>
  <si>
    <t>TV STV</t>
  </si>
  <si>
    <t>Walzenhausen ( NLA )</t>
  </si>
  <si>
    <t>Jessica</t>
  </si>
  <si>
    <t>Sitz</t>
  </si>
  <si>
    <t>Schaufelberger</t>
  </si>
  <si>
    <t>joker-jess@web.de</t>
  </si>
  <si>
    <t>roman.egli@fbneuendorf.ch</t>
  </si>
  <si>
    <t>I</t>
  </si>
  <si>
    <t>Neuendorf</t>
  </si>
  <si>
    <t>MTV</t>
  </si>
  <si>
    <t>Guido</t>
  </si>
  <si>
    <t>Acklin</t>
  </si>
  <si>
    <t>David</t>
  </si>
  <si>
    <t>Feldmoos 11</t>
  </si>
  <si>
    <t>078 637 94 24</t>
  </si>
  <si>
    <t>beeler-daniel@outlook.com</t>
  </si>
  <si>
    <t>Tägernaustr 65</t>
  </si>
  <si>
    <t>Suter</t>
  </si>
  <si>
    <t>079 476 04 32</t>
  </si>
  <si>
    <t>christian.suter@faustballcenter.ch</t>
  </si>
  <si>
    <t>Berger</t>
  </si>
  <si>
    <t>079 388 63 87</t>
  </si>
  <si>
    <t>Herznach</t>
  </si>
  <si>
    <t>Angstmann</t>
  </si>
  <si>
    <t>Büttikon</t>
  </si>
  <si>
    <t>angstme@bluewin.ch</t>
  </si>
  <si>
    <t>Buser</t>
  </si>
  <si>
    <t>STV Niedererlinsbach</t>
  </si>
  <si>
    <t>Philipp</t>
  </si>
  <si>
    <t>Grüninger</t>
  </si>
  <si>
    <t>FBT Flums</t>
  </si>
  <si>
    <t>phgrueninger@hotmail.com</t>
  </si>
  <si>
    <t>Nadia</t>
  </si>
  <si>
    <t>nadiamul98@hotmail.com</t>
  </si>
  <si>
    <t>Mark</t>
  </si>
  <si>
    <t>Stierli</t>
  </si>
  <si>
    <t>Erlinsbach SO</t>
  </si>
  <si>
    <t>mark.stierli@gmx.net</t>
  </si>
  <si>
    <t>Zeltner</t>
  </si>
  <si>
    <t>dominik.zeltner@ggs.ch</t>
  </si>
  <si>
    <t>E-Mail gesendet</t>
  </si>
  <si>
    <t>Herznach ( 2. Liga )</t>
  </si>
  <si>
    <t>079 237 32 72</t>
  </si>
  <si>
    <t>acklin@sunrise.ch</t>
  </si>
  <si>
    <t>077 401 14 82</t>
  </si>
  <si>
    <t>052 685 01 01</t>
  </si>
  <si>
    <t>FBR</t>
  </si>
  <si>
    <t>Manuel</t>
  </si>
  <si>
    <t>Dorfstr 12</t>
  </si>
  <si>
    <t>Rutschwil</t>
  </si>
  <si>
    <t>079 823 98 71</t>
  </si>
  <si>
    <t>schmaerae@bluewin.ch</t>
  </si>
  <si>
    <t>Schläpfer</t>
  </si>
  <si>
    <t>Birkenstr 11</t>
  </si>
  <si>
    <t>Alpnach Dorf</t>
  </si>
  <si>
    <t>Reismühleweg 67</t>
  </si>
  <si>
    <t>Neuendorf 1  ( NLA )</t>
  </si>
  <si>
    <t>Eggrainstr 25</t>
  </si>
  <si>
    <t>Wigoltingen</t>
  </si>
  <si>
    <t>052 763 10 81</t>
  </si>
  <si>
    <t>Bearbeitet noch nicht gsendet</t>
  </si>
  <si>
    <t>X</t>
  </si>
  <si>
    <t>FBV</t>
  </si>
  <si>
    <t>Matthofstr 43</t>
  </si>
  <si>
    <t>Aadorf</t>
  </si>
  <si>
    <t>079 438 17 59</t>
  </si>
  <si>
    <t>Waldkirch ( 2. Liga )</t>
  </si>
  <si>
    <t>Schwellbunn 2 ( 2. Liga )</t>
  </si>
  <si>
    <t xml:space="preserve">Peter </t>
  </si>
  <si>
    <t>Rohner</t>
  </si>
  <si>
    <t>Oberer Toracker 36</t>
  </si>
  <si>
    <t>Herisau</t>
  </si>
  <si>
    <t xml:space="preserve">071 891 46 78 </t>
  </si>
  <si>
    <t>079 757 39 79</t>
  </si>
  <si>
    <t>peter.rohner@ar.ch</t>
  </si>
  <si>
    <t>von Ballmoos</t>
  </si>
  <si>
    <t>Wittnau</t>
  </si>
  <si>
    <t>Niedererlinsbach ( 1. Liga )</t>
  </si>
  <si>
    <t>Fuchsbühl 19</t>
  </si>
  <si>
    <t>Erlinsbach</t>
  </si>
  <si>
    <t>079 798 18 81</t>
  </si>
  <si>
    <t>martin.w.buser@gmail.com</t>
  </si>
  <si>
    <t>052 685 20 53</t>
  </si>
  <si>
    <t>Steinbauer</t>
  </si>
  <si>
    <t>Grossackerstr 31</t>
  </si>
  <si>
    <t>Münchwielen</t>
  </si>
  <si>
    <t>058 215 46 79</t>
  </si>
  <si>
    <t>079 303 77 35</t>
  </si>
  <si>
    <t>andreas@steinbauer.ch</t>
  </si>
  <si>
    <t>Tobias</t>
  </si>
  <si>
    <t>Kasper</t>
  </si>
  <si>
    <t>Untere Feldstr 17</t>
  </si>
  <si>
    <t>079 713 39 48</t>
  </si>
  <si>
    <t>tobias_kasper@hotmail.com</t>
  </si>
  <si>
    <t>Rickenbach-Wilen ( NLA )</t>
  </si>
  <si>
    <t>d_berger@bluewin.ch</t>
  </si>
  <si>
    <t>Beda</t>
  </si>
  <si>
    <t>Kellenberger</t>
  </si>
  <si>
    <t>Hauptstr 6</t>
  </si>
  <si>
    <t>Au</t>
  </si>
  <si>
    <t>079 578 93 83</t>
  </si>
  <si>
    <t>beda.95@hotmail.com</t>
  </si>
  <si>
    <t>bruno.cavasin@sbb.ch</t>
  </si>
  <si>
    <t>steudler23@gmail.com</t>
  </si>
  <si>
    <t>Wängi</t>
  </si>
  <si>
    <t>Pinchera</t>
  </si>
  <si>
    <t>Remo</t>
  </si>
  <si>
    <t>Gemperenstr 2</t>
  </si>
  <si>
    <t>Berneck</t>
  </si>
  <si>
    <t>079 451 73 13</t>
  </si>
  <si>
    <t xml:space="preserve">E-Mail an Schiri und Mannschaft per Post </t>
  </si>
  <si>
    <t>Vordemwald</t>
  </si>
  <si>
    <t>076 442 82 96</t>
  </si>
  <si>
    <t>Bolliger</t>
  </si>
  <si>
    <t>Teufenthal</t>
  </si>
  <si>
    <t>+41 79 239 62 57</t>
  </si>
  <si>
    <t>+41 79 661 00 39</t>
  </si>
  <si>
    <t>+41 79 505 14 73</t>
  </si>
  <si>
    <t>+41 51 281 26 02</t>
  </si>
  <si>
    <t>+41 79 431 31 31</t>
  </si>
  <si>
    <t>+41 62 726 30 06</t>
  </si>
  <si>
    <t>+41 79 713 67 44</t>
  </si>
  <si>
    <t>+41 79 452 77 62</t>
  </si>
  <si>
    <t>+41 44 945 59 14</t>
  </si>
  <si>
    <t>+41 79 424 36 23</t>
  </si>
  <si>
    <t>+41 79 748 52 87</t>
  </si>
  <si>
    <t>+41 71 888 14 80</t>
  </si>
  <si>
    <t>+41 76 581 75 15</t>
  </si>
  <si>
    <t>+41 32 627 96 18</t>
  </si>
  <si>
    <t>+41 79 473 61 88</t>
  </si>
  <si>
    <t>+41 76 683 12 83</t>
  </si>
  <si>
    <t>+41 79 662 92 42</t>
  </si>
  <si>
    <t>Baumann</t>
  </si>
  <si>
    <t>Marius</t>
  </si>
  <si>
    <t>+49 151 2400 4139</t>
  </si>
  <si>
    <t>+41 79 668 84 73</t>
  </si>
  <si>
    <t>+41 79 715 73 52</t>
  </si>
  <si>
    <t>+41 79 259 57 21</t>
  </si>
  <si>
    <t>+41 79 230 17 08</t>
  </si>
  <si>
    <t>+41 78 711 66 45</t>
  </si>
  <si>
    <t>+41 71 633 16 43</t>
  </si>
  <si>
    <t>+41 78 894 35 44</t>
  </si>
  <si>
    <t>Schöftland</t>
  </si>
  <si>
    <t>+41 79 767 86 83</t>
  </si>
  <si>
    <t>+41 76 465 99 66</t>
  </si>
  <si>
    <t>+41 76 456 37 35</t>
  </si>
  <si>
    <t>+41 71 722 04 24</t>
  </si>
  <si>
    <t>+41 79 481 99 49</t>
  </si>
  <si>
    <t>+41 52 685 20 53</t>
  </si>
  <si>
    <t>+41 79 449 88 88</t>
  </si>
  <si>
    <t>+41 52 685 01 01</t>
  </si>
  <si>
    <t>Lenz</t>
  </si>
  <si>
    <t>A-6858</t>
  </si>
  <si>
    <t>Schwarzach</t>
  </si>
  <si>
    <t>+43 699 1582 4455</t>
  </si>
  <si>
    <t>+41 79 750 21 11</t>
  </si>
  <si>
    <t>+41 62 916 92 74</t>
  </si>
  <si>
    <t>+41 77 720 00 46</t>
  </si>
  <si>
    <t>+41 79 792 30 26</t>
  </si>
  <si>
    <t>+41 44 850 74 32</t>
  </si>
  <si>
    <t>+41 79 217 99 05</t>
  </si>
  <si>
    <t>+41 76 488 80 08</t>
  </si>
  <si>
    <t>+41 78 870 66 19</t>
  </si>
  <si>
    <t>+41 44 554 95 37</t>
  </si>
  <si>
    <t>+41 76 373 90 80</t>
  </si>
  <si>
    <t>+41 44 405 40 80</t>
  </si>
  <si>
    <t>+41 76 332 95 51</t>
  </si>
  <si>
    <t>+41 79 791 22 59</t>
  </si>
  <si>
    <t>+41 79 625 12 64</t>
  </si>
  <si>
    <t>Steuer</t>
  </si>
  <si>
    <t>+41 76 566 88 43</t>
  </si>
  <si>
    <t>+41 79 262 52 80</t>
  </si>
  <si>
    <t>+41 78 825 63 91</t>
  </si>
  <si>
    <t>+41 79 236 95 92</t>
  </si>
  <si>
    <t>+41 62 393 19 07</t>
  </si>
  <si>
    <t>+41 76 592 09 17</t>
  </si>
  <si>
    <t>baumann-marius@gmx.de</t>
  </si>
  <si>
    <t>paho@gmx.ch</t>
  </si>
  <si>
    <t>thomas.lenz@konback.com</t>
  </si>
  <si>
    <t>+41 56 633 72 45</t>
  </si>
  <si>
    <t>+41 79 476 65 91</t>
  </si>
  <si>
    <t>+41 56 633 21 33</t>
  </si>
  <si>
    <t>+41 61 631 39 58</t>
  </si>
  <si>
    <t>+41 79 649 26 01</t>
  </si>
  <si>
    <t>+41 79 649 41 47</t>
  </si>
  <si>
    <t>+41 79 599 87 74</t>
  </si>
  <si>
    <t>+41 78 824 40 11</t>
  </si>
  <si>
    <t>Chollet</t>
  </si>
  <si>
    <t>Cornelia</t>
  </si>
  <si>
    <t>+41 52 233 93 58</t>
  </si>
  <si>
    <t>+41 78 859 60 54</t>
  </si>
  <si>
    <t>+41 78 831 47 28</t>
  </si>
  <si>
    <t>Frei</t>
  </si>
  <si>
    <t>St. Gallen</t>
  </si>
  <si>
    <t>+41 78 716 57 33</t>
  </si>
  <si>
    <t>+41 55 440 83 80</t>
  </si>
  <si>
    <t>+41 79 468 57 67</t>
  </si>
  <si>
    <t>+41 79 961 48 39</t>
  </si>
  <si>
    <t>Haller</t>
  </si>
  <si>
    <t>Raphael</t>
  </si>
  <si>
    <t>Rothenburg</t>
  </si>
  <si>
    <t>+41 79 350 32 08</t>
  </si>
  <si>
    <t>+41 79 203 54 53</t>
  </si>
  <si>
    <t>+41 79 688 38 82</t>
  </si>
  <si>
    <t>+41 79 445 11 16</t>
  </si>
  <si>
    <t>+41 52 765 26 64</t>
  </si>
  <si>
    <t>+41 79 798 39 15</t>
  </si>
  <si>
    <t>+41 62 849 15 59</t>
  </si>
  <si>
    <t>+41 78 914 58 08</t>
  </si>
  <si>
    <t>Lützelflüh-Goldbach</t>
  </si>
  <si>
    <t>+41 34 461 04 32</t>
  </si>
  <si>
    <t>+41 78 626 32 08</t>
  </si>
  <si>
    <t>+41 41 760 34 70</t>
  </si>
  <si>
    <t>+41 71 642 22 64</t>
  </si>
  <si>
    <t>+41 79 586 66 24</t>
  </si>
  <si>
    <t>+41 71 644 92 53</t>
  </si>
  <si>
    <t>+41 62 212 20 45</t>
  </si>
  <si>
    <t>+41 79 334 06 92</t>
  </si>
  <si>
    <t>+41 76 588 37 66</t>
  </si>
  <si>
    <t>+41 79 834 23 33</t>
  </si>
  <si>
    <t>+41 79 448 12 31</t>
  </si>
  <si>
    <t>+41 78 771 36 28</t>
  </si>
  <si>
    <t>+41 52 364 23 90</t>
  </si>
  <si>
    <t>+41 79 672 26 12</t>
  </si>
  <si>
    <t>+41 52 320 04 45</t>
  </si>
  <si>
    <t>cocho76@hispeed.ch</t>
  </si>
  <si>
    <t>frei.simon@bluewin.ch</t>
  </si>
  <si>
    <t>STV Weggis</t>
  </si>
  <si>
    <t>kerstin.cina@bluewin.ch</t>
  </si>
  <si>
    <t>STV Oberentfelden</t>
  </si>
  <si>
    <t>info@gravomobil.ch</t>
  </si>
  <si>
    <t>+41 79 625 39 38</t>
  </si>
  <si>
    <t>Frischknecht</t>
  </si>
  <si>
    <t>Fabienne</t>
  </si>
  <si>
    <t>+41 76 446 42 51</t>
  </si>
  <si>
    <t>Meierhofer</t>
  </si>
  <si>
    <t>Robert</t>
  </si>
  <si>
    <t>+41 79 936 39 42</t>
  </si>
  <si>
    <t>Omlin</t>
  </si>
  <si>
    <t>Mischa</t>
  </si>
  <si>
    <t>Weggis</t>
  </si>
  <si>
    <t>+41 61 711 56 75</t>
  </si>
  <si>
    <t>+41 79 735 14 36</t>
  </si>
  <si>
    <t>+41 44 242 88 65</t>
  </si>
  <si>
    <t>+41 76 771 36 17</t>
  </si>
  <si>
    <t>+41 79 820 92 35</t>
  </si>
  <si>
    <t>Tobler</t>
  </si>
  <si>
    <t>+41 79 729 54 20</t>
  </si>
  <si>
    <t>+41 79 929 27 20</t>
  </si>
  <si>
    <t>lukasberger@bluemail.ch</t>
  </si>
  <si>
    <t>STV Walzenhausen</t>
  </si>
  <si>
    <t>fafrischknecht@icloud.com</t>
  </si>
  <si>
    <t>robert_meierhofer@hotmail.com</t>
  </si>
  <si>
    <t>mischa.omlin936@hotmail.com</t>
  </si>
  <si>
    <t>ro.tobler@hotmail.com</t>
  </si>
  <si>
    <t>szi@gft-fassaden.swiss</t>
  </si>
  <si>
    <t>pabst.bruno@bluewin.ch</t>
  </si>
  <si>
    <t>Vorrunde</t>
  </si>
  <si>
    <t>Ersatz CH CUP</t>
  </si>
  <si>
    <t>bis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</si>
  <si>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</si>
  <si>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</si>
  <si>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</si>
  <si>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</si>
  <si>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</si>
  <si>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</si>
  <si>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</si>
  <si>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</si>
  <si>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</si>
  <si>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</si>
  <si>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</si>
  <si>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</si>
  <si>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</si>
  <si>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 xml:space="preserve">Resultatmeldung bis spätestens 12 Uhr des Folgetages durch den Schiedsrichter  per E-Mail, SMS oder WhatsApp an  </t>
  </si>
  <si>
    <t>Sieger Spiel A</t>
  </si>
  <si>
    <t>Sieger Spiel B</t>
  </si>
  <si>
    <t>Sieger Spiel C</t>
  </si>
  <si>
    <t>Sieger Spiel D</t>
  </si>
  <si>
    <t>Sieger Spiel E</t>
  </si>
  <si>
    <t>Sieger Spiel F</t>
  </si>
  <si>
    <t>Sieger Spiel G</t>
  </si>
  <si>
    <t>Sieger Spiel H</t>
  </si>
  <si>
    <t>Sieger Spiel I</t>
  </si>
  <si>
    <t>Sieger Spiel J</t>
  </si>
  <si>
    <t>Sieger Spiel K</t>
  </si>
  <si>
    <t>Sieger Spiel L</t>
  </si>
  <si>
    <t>Sieger Spiel M</t>
  </si>
  <si>
    <t>Sieger Spiel N</t>
  </si>
  <si>
    <t>Sieger Spiel O</t>
  </si>
  <si>
    <t>Sieger Spiel P</t>
  </si>
  <si>
    <t>Freilos</t>
  </si>
  <si>
    <r>
      <rPr>
        <sz val="10"/>
        <rFont val="Arial"/>
        <family val="2"/>
      </rPr>
      <t>Cupkommission</t>
    </r>
    <r>
      <rPr>
        <b/>
        <sz val="10"/>
        <rFont val="Arial"/>
        <family val="2"/>
      </rPr>
      <t xml:space="preserve"> CUPKO</t>
    </r>
  </si>
  <si>
    <t>1/16  - Finals</t>
  </si>
  <si>
    <t>1/8 - Finals</t>
  </si>
  <si>
    <t>1/4 - Finals</t>
  </si>
  <si>
    <t>1/2 - Finals</t>
  </si>
  <si>
    <t>Ersatz</t>
  </si>
  <si>
    <t>Der Unterklassige hat Heimvorteil
bis und mit Viertelfinals</t>
  </si>
  <si>
    <t>H = Heimvorteil bei gleicher Liga</t>
  </si>
  <si>
    <t>-</t>
  </si>
  <si>
    <t>Sieger Vorrunde</t>
  </si>
  <si>
    <t>die vier 
Gesezten
Mannschaften</t>
  </si>
  <si>
    <t>Q</t>
  </si>
  <si>
    <t>NLA</t>
  </si>
  <si>
    <t>NLB</t>
  </si>
  <si>
    <t>1. Liga</t>
  </si>
  <si>
    <t>2. Liga</t>
  </si>
  <si>
    <t>Bezhalt</t>
  </si>
  <si>
    <t>3. Liga</t>
  </si>
  <si>
    <t>Angemeldet</t>
  </si>
  <si>
    <t>Sen</t>
  </si>
  <si>
    <t>test 5</t>
  </si>
  <si>
    <t>test 4</t>
  </si>
  <si>
    <t>test 3</t>
  </si>
  <si>
    <t>079 404 47 21</t>
  </si>
  <si>
    <t>jan.haller@schulemuhen.ch</t>
  </si>
  <si>
    <t>079 252 07 47</t>
  </si>
  <si>
    <t>Jan</t>
  </si>
  <si>
    <t>maenner@faustballschlieren.ch</t>
  </si>
  <si>
    <t>079 602 18 32</t>
  </si>
  <si>
    <t>Steimaur</t>
  </si>
  <si>
    <t>Römerstr 14</t>
  </si>
  <si>
    <t>Fritschi</t>
  </si>
  <si>
    <t>valon.shabanaj@outlook.com</t>
  </si>
  <si>
    <t>079 460 34 25</t>
  </si>
  <si>
    <t>Hauptstrasse 75a</t>
  </si>
  <si>
    <t>Shabanaj</t>
  </si>
  <si>
    <t>Valon</t>
  </si>
  <si>
    <t>faustball@stv-affeltrangen.ch</t>
  </si>
  <si>
    <t>faustball@mrberingen.ch</t>
  </si>
  <si>
    <t>079 449 88 88</t>
  </si>
  <si>
    <t>Andrea</t>
  </si>
  <si>
    <t>079 238 91 30</t>
  </si>
  <si>
    <t>Obere Gasse</t>
  </si>
  <si>
    <t>Hochreute</t>
  </si>
  <si>
    <t>cyrill.hagen@gmail.com</t>
  </si>
  <si>
    <t>079 864 40 28</t>
  </si>
  <si>
    <t>Schwellbrunn</t>
  </si>
  <si>
    <t>Wiesenrain 992</t>
  </si>
  <si>
    <t>Hagen</t>
  </si>
  <si>
    <t>Cyrill</t>
  </si>
  <si>
    <t>severin_holzer@hotmail.com</t>
  </si>
  <si>
    <t>079 709 78 12</t>
  </si>
  <si>
    <t>Zielschlacht</t>
  </si>
  <si>
    <t>Breitestr 9</t>
  </si>
  <si>
    <t>Holzer</t>
  </si>
  <si>
    <t>Severin</t>
  </si>
  <si>
    <t>Müchwilen</t>
  </si>
  <si>
    <t>Grosackerstr 31</t>
  </si>
  <si>
    <t>Affeltrangen ( 2. Liga )</t>
  </si>
  <si>
    <t>1. L</t>
  </si>
  <si>
    <t>Lig</t>
  </si>
  <si>
    <t>Adressen</t>
  </si>
  <si>
    <t>Affoltern A/A  (2. Liga )</t>
  </si>
  <si>
    <t>Johan</t>
  </si>
  <si>
    <t>Schoch</t>
  </si>
  <si>
    <t>Loorenstr 17</t>
  </si>
  <si>
    <t>Affoltern am Albis</t>
  </si>
  <si>
    <t>079 567 82 36</t>
  </si>
  <si>
    <t>jf.schoch@bluewin.ch</t>
  </si>
  <si>
    <t>Elias</t>
  </si>
  <si>
    <t>Mittelland 4</t>
  </si>
  <si>
    <t>Dozwil</t>
  </si>
  <si>
    <t>071 955 26 70</t>
  </si>
  <si>
    <t>elias.schlaepfer@gmail.com</t>
  </si>
  <si>
    <t>Nagel</t>
  </si>
  <si>
    <t>Landstr 29</t>
  </si>
  <si>
    <t>Höchst</t>
  </si>
  <si>
    <t>nagel.markus@outlok.com</t>
  </si>
  <si>
    <t>Wiesenstr 13B</t>
  </si>
  <si>
    <t>079 792 30 26</t>
  </si>
  <si>
    <t>meier_x@hotmail.com</t>
  </si>
  <si>
    <t>SVD</t>
  </si>
  <si>
    <t>Diepoldsau ( NLA )</t>
  </si>
  <si>
    <t xml:space="preserve">Norbert </t>
  </si>
  <si>
    <t>Sindler</t>
  </si>
  <si>
    <t>Deipoldsau</t>
  </si>
  <si>
    <t>079 797 47 86</t>
  </si>
  <si>
    <t>spiko@faustball-diepoldsau.ch</t>
  </si>
  <si>
    <t>Höchst ( 2. Liga ) C.F</t>
  </si>
  <si>
    <t>Jung</t>
  </si>
  <si>
    <t>Sonnenwiesstr 2a</t>
  </si>
  <si>
    <t>Rossrüti</t>
  </si>
  <si>
    <t>079 542 88 83</t>
  </si>
  <si>
    <t>spiko@fgriwi.ch</t>
  </si>
  <si>
    <t>Roggwil 1  ( 1. Liga W )</t>
  </si>
  <si>
    <t>Hübstelstr 1b</t>
  </si>
  <si>
    <t>Bommer</t>
  </si>
  <si>
    <t>Kirchberg 8</t>
  </si>
  <si>
    <t>052 366 30 69</t>
  </si>
  <si>
    <t>079 481 59 70</t>
  </si>
  <si>
    <t>bommers@bluewin.ch</t>
  </si>
  <si>
    <t>Teilnehmer Schweizer Cup 2021</t>
  </si>
  <si>
    <t>C = CUP Siger / F - Finalist</t>
  </si>
  <si>
    <t xml:space="preserve">Alpnach  ( 1. Liga W ) </t>
  </si>
  <si>
    <t xml:space="preserve">Beringen ( 1. Liga O ) </t>
  </si>
  <si>
    <t>Dägerlen ( 1. Liga O  )</t>
  </si>
  <si>
    <t>Rebstein ( 1. Liga O )</t>
  </si>
  <si>
    <t>Schaffhausen   ( 1. Liga O )</t>
  </si>
  <si>
    <t>Schlieren  ( 1. Liga O )</t>
  </si>
  <si>
    <t>Schwellbunn 2 ( 1. Liga O )</t>
  </si>
  <si>
    <t>Dev</t>
  </si>
  <si>
    <t>Gersagestr 25</t>
  </si>
  <si>
    <t>Emmenbrücke</t>
  </si>
  <si>
    <t>079 367 54 35</t>
  </si>
  <si>
    <t>spielbetrieb@faustballcenter.ch</t>
  </si>
  <si>
    <t>Vordemwald  (1. Liga W )</t>
  </si>
  <si>
    <t>Sagigasse 33</t>
  </si>
  <si>
    <t>079 721 45 82</t>
  </si>
  <si>
    <t>reto.vonballmoos@gmail.com</t>
  </si>
  <si>
    <t>Dozwil ( NLB O )</t>
  </si>
  <si>
    <t>Ostermundigen ( 2. Liga )</t>
  </si>
  <si>
    <t>Chapuis</t>
  </si>
  <si>
    <t>Axenstr 32</t>
  </si>
  <si>
    <t>Flüelen</t>
  </si>
  <si>
    <t>079 233 72 84</t>
  </si>
  <si>
    <t>r.chapuis@bluewin.ch</t>
  </si>
  <si>
    <t>Deitingen ( 1. Liga W )</t>
  </si>
  <si>
    <t>Blockgasse 7</t>
  </si>
  <si>
    <t>pascal.barriere@bd.so.ch</t>
  </si>
  <si>
    <t>FBT</t>
  </si>
  <si>
    <t>Amsteg ( 2. Liga )</t>
  </si>
  <si>
    <t>Adi</t>
  </si>
  <si>
    <t>König</t>
  </si>
  <si>
    <t>Ennerbergstr 12</t>
  </si>
  <si>
    <t>Buochs</t>
  </si>
  <si>
    <t>adi.koenig@gmail.com</t>
  </si>
  <si>
    <t>Töss 1 ( 2. Liga )</t>
  </si>
  <si>
    <t>Benny</t>
  </si>
  <si>
    <t>Boldo</t>
  </si>
  <si>
    <t>Giesserstr 27</t>
  </si>
  <si>
    <t>076 320 86 65</t>
  </si>
  <si>
    <t>b.boldo@bluewin.ch</t>
  </si>
  <si>
    <t xml:space="preserve">tk@fbneuendorf.ch </t>
  </si>
  <si>
    <t>Kirchberg ( NLB W )</t>
  </si>
  <si>
    <t>Solenthurnerstr 17</t>
  </si>
  <si>
    <t>Total  Mannschaften: 39</t>
  </si>
  <si>
    <t>Cup-Sieger 2021</t>
  </si>
  <si>
    <t>Thundorf ( 4. Liga ) F</t>
  </si>
  <si>
    <t>Waldkirch ( 4. Liga )</t>
  </si>
  <si>
    <t>079 227 94 81</t>
  </si>
  <si>
    <t>Barrière</t>
  </si>
  <si>
    <t>079 778 92 06</t>
  </si>
  <si>
    <t>Diepoldsau (4. Liga ) C</t>
  </si>
  <si>
    <t>Mattenhofstr 43</t>
  </si>
  <si>
    <t>simon.kunz@fbv-ettenhausen.ch</t>
  </si>
  <si>
    <t>Schlieren  ( NLB O )</t>
  </si>
  <si>
    <t>Vordemwald  ( NLB W )</t>
  </si>
  <si>
    <t>Olten ( NLB W )</t>
  </si>
  <si>
    <t>FG Fricktal ( NLB W )</t>
  </si>
  <si>
    <t>Wollerau ( NLB W )</t>
  </si>
  <si>
    <t>B =</t>
  </si>
  <si>
    <t>Bar</t>
  </si>
  <si>
    <t xml:space="preserve">T = </t>
  </si>
  <si>
    <t>Twint</t>
  </si>
  <si>
    <t>PB =</t>
  </si>
  <si>
    <t>Post</t>
  </si>
  <si>
    <t>binggeli.roland@bluewin.ch</t>
  </si>
  <si>
    <t>hochi41@hotmail.com</t>
  </si>
  <si>
    <t>Binggeli</t>
  </si>
  <si>
    <t>Roland</t>
  </si>
  <si>
    <t>Zunzgen</t>
  </si>
  <si>
    <t>Aufgeb m S
an Schiri</t>
  </si>
  <si>
    <t>Aufgebo
mit Schiri</t>
  </si>
  <si>
    <t>SVD Diepoldsau (4. Liga ) C</t>
  </si>
  <si>
    <t>Thundorf Schulhaus</t>
  </si>
  <si>
    <t xml:space="preserve">Resultatmeldung bis spätestens 12 Uhr des Folgetages durch die Heim-Mannschaft mit diesem Meldeblatt per Mail an  </t>
  </si>
  <si>
    <t>media@swissfaustball.ch</t>
  </si>
  <si>
    <t>Linienrichter:</t>
  </si>
  <si>
    <t>Total Km</t>
  </si>
  <si>
    <t>Stefan Eggert</t>
  </si>
  <si>
    <t>Kenneth Schoch</t>
  </si>
  <si>
    <t>Christian Lässer</t>
  </si>
  <si>
    <t>Lukas Lässer</t>
  </si>
  <si>
    <t>Paolo Columpsi</t>
  </si>
  <si>
    <t>Jonas Tremp</t>
  </si>
  <si>
    <t>Malik Müller</t>
  </si>
  <si>
    <t>Mathias Ziereisnen</t>
  </si>
  <si>
    <t>schweri.simon@gmail.com Rückzug</t>
  </si>
  <si>
    <t>Affeltrangen  ( NLA )</t>
  </si>
  <si>
    <t>Elgg-Ettenhausen  ( NLB)</t>
  </si>
  <si>
    <t>Staffelbach  ( 1. Liga W )</t>
  </si>
  <si>
    <t>Patrick Hochreuter</t>
  </si>
  <si>
    <t xml:space="preserve">Angemeldet </t>
  </si>
  <si>
    <t>Feldmattweg 8D</t>
  </si>
  <si>
    <t>Gemperstr 2</t>
  </si>
  <si>
    <t>remo-pinchera-widnau.ch</t>
  </si>
  <si>
    <t>Nützi</t>
  </si>
  <si>
    <t>Wolfwilerstr 40</t>
  </si>
  <si>
    <t xml:space="preserve">062 388 74 58 </t>
  </si>
  <si>
    <t>Wollerau ( NLB W)</t>
  </si>
  <si>
    <t>Walzenhausen ( NLB )</t>
  </si>
  <si>
    <t>2. L</t>
  </si>
  <si>
    <t>Dani</t>
  </si>
  <si>
    <t>tk@fbneuendorf.ch</t>
  </si>
  <si>
    <t>remo.pinchera@bluewin.ch</t>
  </si>
  <si>
    <t>Beringen ( 2. Liga )</t>
  </si>
  <si>
    <t>Benjamin</t>
  </si>
  <si>
    <t>Metzggasse 6</t>
  </si>
  <si>
    <t>Von Ballmoos</t>
  </si>
  <si>
    <t>Rotfarbstr 9</t>
  </si>
  <si>
    <t>Zofingen</t>
  </si>
  <si>
    <t>Rang 1 bis 4
der Meisterschaft
Feld Vorjahr
werden Gesezt</t>
  </si>
  <si>
    <t>Tschannen</t>
  </si>
  <si>
    <t>Rumiweg 9</t>
  </si>
  <si>
    <t>Langenthal</t>
  </si>
  <si>
    <t>st.fb_burgdorf@bluewin.ch</t>
  </si>
  <si>
    <t>Giger</t>
  </si>
  <si>
    <t>Ahornweg 20</t>
  </si>
  <si>
    <t>Deitingen</t>
  </si>
  <si>
    <t>giger.marco@sunrise.ch</t>
  </si>
  <si>
    <t>Ribi</t>
  </si>
  <si>
    <t>Unterdorfstr 2b</t>
  </si>
  <si>
    <t>Hörhausen</t>
  </si>
  <si>
    <t>Hauptstr6</t>
  </si>
  <si>
    <t>071 517 88 37</t>
  </si>
  <si>
    <t>elias.schlaepfergmail.com</t>
  </si>
  <si>
    <t xml:space="preserve">Simon </t>
  </si>
  <si>
    <t>Elgg ( 2. Liga )</t>
  </si>
  <si>
    <t>Elgg</t>
  </si>
  <si>
    <t>Aeppenhaldenstr 3b</t>
  </si>
  <si>
    <t>Elgg-Ettenhausen 1 ( NLA )</t>
  </si>
  <si>
    <t>Elgg-Ettenhausen 2 ( NLB O )</t>
  </si>
  <si>
    <t>Dägerlen ( NLB O )</t>
  </si>
  <si>
    <t>Spreitenbach 1 ( 1. Liga W )</t>
  </si>
  <si>
    <t>Wigoltingen 2 ( 1. Liga O )</t>
  </si>
  <si>
    <t>Kirchberg  ( NLB W )</t>
  </si>
  <si>
    <t xml:space="preserve">Stefan </t>
  </si>
  <si>
    <t>Zielger</t>
  </si>
  <si>
    <t>076 824 52 22</t>
  </si>
  <si>
    <t>ziege81@icloud.com</t>
  </si>
  <si>
    <t>Heiniger</t>
  </si>
  <si>
    <t>Schulstr 408</t>
  </si>
  <si>
    <t xml:space="preserve">Effingn </t>
  </si>
  <si>
    <t>079 669 67 76</t>
  </si>
  <si>
    <t>rh@wwag.ch</t>
  </si>
  <si>
    <t>Ettenhausen ( 2. Liga S )</t>
  </si>
  <si>
    <t>Gartenstr 4a</t>
  </si>
  <si>
    <t>Holzikon</t>
  </si>
  <si>
    <t>michi_ho1997@hotmail.com</t>
  </si>
  <si>
    <t>Schlossrued ( NLB W )</t>
  </si>
  <si>
    <t>Schwellbrunn ( NLB  O)</t>
  </si>
  <si>
    <t>Mähr</t>
  </si>
  <si>
    <t>+41 44 777 70 33</t>
  </si>
  <si>
    <t>Fahrwangen</t>
  </si>
  <si>
    <t>Wangen bei Olten</t>
  </si>
  <si>
    <t>+41 58 911 14 48</t>
  </si>
  <si>
    <t>+41 71 923 26 08</t>
  </si>
  <si>
    <t>+41 71 973 75 48</t>
  </si>
  <si>
    <t>TV Olten</t>
  </si>
  <si>
    <t>Faustball Wollerau</t>
  </si>
  <si>
    <t>buehlerbirmi@bluewin.ch</t>
  </si>
  <si>
    <t>Spreitenbach</t>
  </si>
  <si>
    <t>marc.flueck@gmail.com</t>
  </si>
  <si>
    <t>darf@bluewin.ch</t>
  </si>
  <si>
    <t>TSV Faustball Deitingen</t>
  </si>
  <si>
    <t>mueller@swissfaustball.ch</t>
  </si>
  <si>
    <t>Faustball SVD Diepoldsau-Schmitter</t>
  </si>
  <si>
    <t>Wädenswil</t>
  </si>
  <si>
    <t>Bremgarten</t>
  </si>
  <si>
    <t>+41 76 441 78 30</t>
  </si>
  <si>
    <t>Wittenwil</t>
  </si>
  <si>
    <t>Ittenthal</t>
  </si>
  <si>
    <t>+41 79 651 82 59</t>
  </si>
  <si>
    <t>wbolliger@ziknet.ch</t>
  </si>
  <si>
    <t>haener.rolf@bluewin.ch</t>
  </si>
  <si>
    <t>MR Beringen</t>
  </si>
  <si>
    <t>FB Roggwil</t>
  </si>
  <si>
    <t>rene-meili@bluewin.ch</t>
  </si>
  <si>
    <t>luigi.notaro@sunrise.ch</t>
  </si>
  <si>
    <t>TV Kirchberg</t>
  </si>
  <si>
    <t>ch.steuer81@gmail.com</t>
  </si>
  <si>
    <t>stom@sfs.com</t>
  </si>
  <si>
    <t>Bär</t>
  </si>
  <si>
    <t>Liliane</t>
  </si>
  <si>
    <t>Fehr</t>
  </si>
  <si>
    <t>Joël</t>
  </si>
  <si>
    <t>Nicolas</t>
  </si>
  <si>
    <t>Frehner</t>
  </si>
  <si>
    <t>Megan</t>
  </si>
  <si>
    <t>Kupper</t>
  </si>
  <si>
    <t>Strassmann</t>
  </si>
  <si>
    <t>Rico</t>
  </si>
  <si>
    <t>Wyss</t>
  </si>
  <si>
    <t>+41 79 677 00 31</t>
  </si>
  <si>
    <t>+41 79 450 26 17</t>
  </si>
  <si>
    <t>Weiningen</t>
  </si>
  <si>
    <t>+41 78 811 54 67</t>
  </si>
  <si>
    <t>+41 78 811 54 66</t>
  </si>
  <si>
    <t>Hellbühl</t>
  </si>
  <si>
    <t>+41 76 681 01 45</t>
  </si>
  <si>
    <t>Heiligkreuz</t>
  </si>
  <si>
    <t>Birrwil AG</t>
  </si>
  <si>
    <t>+41 52 364 23 87</t>
  </si>
  <si>
    <t>+41 78 900 00 76</t>
  </si>
  <si>
    <t>+41 52 369 50 00</t>
  </si>
  <si>
    <t>+41 00 000 00 00</t>
  </si>
  <si>
    <t>Sihlbrugg</t>
  </si>
  <si>
    <t>+41 79 460 34 25</t>
  </si>
  <si>
    <t>+41 78 658 09 99</t>
  </si>
  <si>
    <t>Bussnang</t>
  </si>
  <si>
    <t>+41 78 686 52 32</t>
  </si>
  <si>
    <t>Hinterforst</t>
  </si>
  <si>
    <t>Schwerzenbach</t>
  </si>
  <si>
    <t>+41 78 748 68 40</t>
  </si>
  <si>
    <t>TV Kleinhüningen</t>
  </si>
  <si>
    <t>FB Elgg</t>
  </si>
  <si>
    <t>lili.baer@gmx.ch</t>
  </si>
  <si>
    <t>FG Elgg-Ettenhausen &amp;#40;FB Elgg&amp;#41;</t>
  </si>
  <si>
    <t>joel.fehr@bluewin.ch</t>
  </si>
  <si>
    <t>nicolas.fehr@bluewin.ch</t>
  </si>
  <si>
    <t>meganfrehner@gmx.ch</t>
  </si>
  <si>
    <t>FG Elgg-Ettenhausen</t>
  </si>
  <si>
    <t>manfred.friedlos@af21.ch</t>
  </si>
  <si>
    <t>pascal@kupper-obst.ch</t>
  </si>
  <si>
    <t>felben.meier@outlook.com</t>
  </si>
  <si>
    <t>rico.strassmann@bluewin.ch</t>
  </si>
  <si>
    <t>briri.tenini@bluewin.ch</t>
  </si>
  <si>
    <t>pascal-wyss@gmx.net</t>
  </si>
  <si>
    <t>SVD Diepoldsau-Schmitter</t>
  </si>
  <si>
    <t>Bächler</t>
  </si>
  <si>
    <t>Florian</t>
  </si>
  <si>
    <t>Lieberherr</t>
  </si>
  <si>
    <t>Claudio</t>
  </si>
  <si>
    <t>Lotz</t>
  </si>
  <si>
    <t>Horst</t>
  </si>
  <si>
    <t>Schlattinger</t>
  </si>
  <si>
    <t>Mirjam</t>
  </si>
  <si>
    <t>Werder</t>
  </si>
  <si>
    <t>Illnau</t>
  </si>
  <si>
    <t>Nürensdorf</t>
  </si>
  <si>
    <t>STV Dozwil</t>
  </si>
  <si>
    <t>bauer_flo@hotmail.de</t>
  </si>
  <si>
    <t>MTV Illnau</t>
  </si>
  <si>
    <t>c.lieberherr@hotmail.com</t>
  </si>
  <si>
    <t>MR Illnau</t>
  </si>
  <si>
    <t>horst.lotz@gmail.com</t>
  </si>
  <si>
    <t>mi.schlattinger@gmx.ch</t>
  </si>
  <si>
    <t>FBR Dägerlen</t>
  </si>
  <si>
    <t>Blaser</t>
  </si>
  <si>
    <t>Sandro</t>
  </si>
  <si>
    <t>Dominik</t>
  </si>
  <si>
    <t>Bärau</t>
  </si>
  <si>
    <t>+41 79 560 19 01</t>
  </si>
  <si>
    <t>Stetten SH</t>
  </si>
  <si>
    <t>MR Bärau</t>
  </si>
  <si>
    <t>19saendu91@gmail.com</t>
  </si>
  <si>
    <t>ch.christian.goetsch@gmail.com</t>
  </si>
  <si>
    <t>rx4@renaultclub.ch</t>
  </si>
  <si>
    <t>I - Schiri</t>
  </si>
  <si>
    <t>A - Schiri</t>
  </si>
  <si>
    <t>B - Schiri</t>
  </si>
  <si>
    <t>Angefragt</t>
  </si>
  <si>
    <t>079 607 23 24</t>
  </si>
  <si>
    <t>Lorena</t>
  </si>
  <si>
    <t>Unterdorfstr 47</t>
  </si>
  <si>
    <t>T</t>
  </si>
  <si>
    <t>B = Bar Post</t>
  </si>
  <si>
    <t>T = TWINT</t>
  </si>
  <si>
    <t>blau</t>
  </si>
  <si>
    <t>Offizielle Schiedsrichterausrüstung blau / schwarz</t>
  </si>
  <si>
    <t>Schwarzenbach</t>
  </si>
  <si>
    <t>078 748 68 40</t>
  </si>
  <si>
    <t>.</t>
  </si>
  <si>
    <t xml:space="preserve">faustball@stv-affeltrangen.ch </t>
  </si>
  <si>
    <t>Pause zwischen den Sätze 90 s</t>
  </si>
  <si>
    <t>Pause zwischen den Sätzen 90 s</t>
  </si>
  <si>
    <t>Lipp</t>
  </si>
  <si>
    <t>076 573 09 99</t>
  </si>
  <si>
    <t>Swen Aebersold</t>
  </si>
  <si>
    <t>Jan Wolfensberger</t>
  </si>
  <si>
    <t>Maik Keller</t>
  </si>
  <si>
    <t>Ramon Hochstrasser</t>
  </si>
  <si>
    <t>Robin Häfeli</t>
  </si>
  <si>
    <t>Reto von Ballmoos</t>
  </si>
  <si>
    <t>Tim Egolf</t>
  </si>
  <si>
    <t>Silvan Bissig</t>
  </si>
  <si>
    <t>Konrad Keller</t>
  </si>
  <si>
    <t>Reto Egolf</t>
  </si>
  <si>
    <t>Diepoldsau-Schmitter (NLA)</t>
  </si>
  <si>
    <t>Hofwis 12</t>
  </si>
  <si>
    <t>Elsau</t>
  </si>
  <si>
    <t>Solothurnerstr 31</t>
  </si>
  <si>
    <t>Hochreuter</t>
  </si>
  <si>
    <t>Scheuerackerweg 16</t>
  </si>
  <si>
    <t>Riniken</t>
  </si>
  <si>
    <t xml:space="preserve">Widnau ( 2. Liga F ) </t>
  </si>
  <si>
    <t>079 335 51 51</t>
  </si>
  <si>
    <t>Oberentfelden   ( 2. Liga )</t>
  </si>
  <si>
    <t>Töss ( 2. Liga )</t>
  </si>
  <si>
    <t>Riedwiesen 6</t>
  </si>
  <si>
    <t>079 329 41 52</t>
  </si>
  <si>
    <t>3. L</t>
  </si>
  <si>
    <t>1.L</t>
  </si>
  <si>
    <t>Müllheim 1 ( 2. Liga )</t>
  </si>
  <si>
    <t>Gubser</t>
  </si>
  <si>
    <t>Alpnach  ( 1. Liga ) W</t>
  </si>
  <si>
    <t>m.bucher@hs-team.ch</t>
  </si>
  <si>
    <t>37. Schweizer Cup Männer 2025</t>
  </si>
  <si>
    <t xml:space="preserve">Resultatmeldung bis spätestens 12 Uhr des Folgetages durch den Schiedsrichter  per     E-Mail, SMS oder WhatsApp an  </t>
  </si>
  <si>
    <t>info@fgfricktal.ch</t>
  </si>
  <si>
    <t>x</t>
  </si>
  <si>
    <t>Jerome</t>
  </si>
  <si>
    <t>Sepin</t>
  </si>
  <si>
    <t>079 929 89 85</t>
  </si>
  <si>
    <t>jerome.sepin@gmail.com</t>
  </si>
  <si>
    <t>Aron</t>
  </si>
  <si>
    <t>077 423 20 05</t>
  </si>
  <si>
    <t>materialwart@fbrdaegerlen.ch</t>
  </si>
  <si>
    <t>079 585 70 85</t>
  </si>
  <si>
    <t>Rudolf</t>
  </si>
  <si>
    <t>FG Elgg-Ettenhausen ( NLA )</t>
  </si>
  <si>
    <t>FB Neuendorf (NLA )</t>
  </si>
  <si>
    <t>STV Oberentfelden ( NLA )</t>
  </si>
  <si>
    <t>STV Wigoltingen ( NLA )</t>
  </si>
  <si>
    <t>Oliver</t>
  </si>
  <si>
    <t>Lang</t>
  </si>
  <si>
    <t>079 672 93 60</t>
  </si>
  <si>
    <t>Isenschmid</t>
  </si>
  <si>
    <t>079 481 86 81</t>
  </si>
  <si>
    <t>thomas@isenschmid.com</t>
  </si>
  <si>
    <t>Kenneth</t>
  </si>
  <si>
    <t xml:space="preserve">Ahornstr </t>
  </si>
  <si>
    <t>079 603 88 30</t>
  </si>
  <si>
    <t>kennethschoch@bluewin.ch</t>
  </si>
  <si>
    <t>Handestr 15</t>
  </si>
  <si>
    <t>078 711 66 45</t>
  </si>
  <si>
    <t>christian.goetsch@fbv-ettenhausen.ch</t>
  </si>
  <si>
    <t>Hintergasse 3a</t>
  </si>
  <si>
    <t>078 613 39 28</t>
  </si>
  <si>
    <t>fehr.markus@bluewin.ch</t>
  </si>
  <si>
    <t>079 346 01 18</t>
  </si>
  <si>
    <t>patrick@oderbolz.ch</t>
  </si>
  <si>
    <t>Oderbolz</t>
  </si>
  <si>
    <t>Jonas</t>
  </si>
  <si>
    <t>Hess</t>
  </si>
  <si>
    <t>079 900 69 17</t>
  </si>
  <si>
    <t>SUS</t>
  </si>
  <si>
    <t>Nüesch</t>
  </si>
  <si>
    <t>marco.nueesch@faustball-widnau.ch</t>
  </si>
  <si>
    <t>Widnau   ( 2. Liga F )</t>
  </si>
  <si>
    <t>Schneggenhubel 5</t>
  </si>
  <si>
    <t>Kerns</t>
  </si>
  <si>
    <t>Burgdorf (1. Liga  W)</t>
  </si>
  <si>
    <t>Oberwinterthur  (NLB )</t>
  </si>
  <si>
    <t>Fricktal ( NLA  )</t>
  </si>
  <si>
    <t>Josua</t>
  </si>
  <si>
    <t>076 320 30 46</t>
  </si>
  <si>
    <t>j.schlattinger@gmx.ch</t>
  </si>
  <si>
    <t>Müllheim ( 2. L )</t>
  </si>
  <si>
    <t>079 519 86 51</t>
  </si>
  <si>
    <t>raffigubser@bluewin.ch</t>
  </si>
  <si>
    <t>Felben-W.hausen ( 2. Liga )</t>
  </si>
  <si>
    <t>37. Final Schweizer Cup 2025</t>
  </si>
  <si>
    <t>CH CUP 1/16 Final</t>
  </si>
  <si>
    <t>Zusammenfassung CH CUP</t>
  </si>
  <si>
    <t xml:space="preserve">Teilnehmer Schweizer Cup 2025  </t>
  </si>
  <si>
    <t>Cup-Sieger 2025</t>
  </si>
  <si>
    <r>
      <rPr>
        <b/>
        <sz val="12"/>
        <rFont val="Arial"/>
        <family val="2"/>
      </rPr>
      <t>11</t>
    </r>
    <r>
      <rPr>
        <sz val="12"/>
        <rFont val="Arial"/>
        <family val="2"/>
      </rPr>
      <t>.09/</t>
    </r>
    <r>
      <rPr>
        <b/>
        <sz val="12"/>
        <rFont val="Arial"/>
        <family val="2"/>
      </rPr>
      <t>11</t>
    </r>
    <r>
      <rPr>
        <sz val="12"/>
        <rFont val="Arial"/>
        <family val="2"/>
      </rPr>
      <t>. 8/  6.11/ 9.11/ 9.11/ 9.11/11. 9/11.09/ 09.11</t>
    </r>
  </si>
  <si>
    <t>Vordemwald 2  ( 1. Liga W)</t>
  </si>
  <si>
    <t>Vordemwald 1 ( NLB W )</t>
  </si>
  <si>
    <t>Jona 1( NLB O )</t>
  </si>
  <si>
    <t xml:space="preserve">Jona 2  ( 1. Liga O )  </t>
  </si>
  <si>
    <t>Schlieren ( NLB O )</t>
  </si>
  <si>
    <t>Total  Mannschaften: 34</t>
  </si>
  <si>
    <t>lang@swissfaustball.ch</t>
  </si>
  <si>
    <t>Rickenbach-Wilen 2 ( NLB )</t>
  </si>
  <si>
    <t>Die unterklassige Mannschaft hat - mit Ausnahme beim Cupfinal - Heimvorteil, sofern sie über einen Spielplatz verfügt (für evtl. Platzabtausch vgl. Ziff. 6.2).</t>
  </si>
  <si>
    <t>Mo. 05. Mai. 2025</t>
  </si>
  <si>
    <t>0792396257</t>
  </si>
  <si>
    <t>+41 76 571 65 77</t>
  </si>
  <si>
    <t>Faustball Wollerau/ Faustball Jona</t>
  </si>
  <si>
    <t>STV Wohlen</t>
  </si>
  <si>
    <t>FG Riwi</t>
  </si>
  <si>
    <t>STV Seuzach</t>
  </si>
  <si>
    <t>STV Rüti</t>
  </si>
  <si>
    <t>roger_beeler@gmx.ch</t>
  </si>
  <si>
    <t>m.meier@fistball.sport</t>
  </si>
  <si>
    <t>Brammann</t>
  </si>
  <si>
    <t>Ralf</t>
  </si>
  <si>
    <t>Weil am Rhein</t>
  </si>
  <si>
    <t>004976219359654</t>
  </si>
  <si>
    <t>+41 79 410 76 87</t>
  </si>
  <si>
    <t>FB Schwellbrunn</t>
  </si>
  <si>
    <t>STV Schöftland</t>
  </si>
  <si>
    <t>TV Weil</t>
  </si>
  <si>
    <t>FG Meisterschwanden-Schafisheim</t>
  </si>
  <si>
    <t>FB Burgdorf + TV Kirchberg</t>
  </si>
  <si>
    <t>MTV Gipf-Oberfrick</t>
  </si>
  <si>
    <t>ralfbramm@web.de</t>
  </si>
  <si>
    <t>Robin.haefeli@hotmail.com</t>
  </si>
  <si>
    <t>Dagmarsellen</t>
  </si>
  <si>
    <t>+41 44 927 12 16</t>
  </si>
  <si>
    <t>+41 76 390 86 90</t>
  </si>
  <si>
    <t>+41 78 651 68 80</t>
  </si>
  <si>
    <t>+41 44 836 51 69</t>
  </si>
  <si>
    <t>+41 79 823 98 71</t>
  </si>
  <si>
    <t>FBV Ettenhausen</t>
  </si>
  <si>
    <t>Satus Kreuzlingen</t>
  </si>
  <si>
    <t>STV Kriens / Faustball Alpnach</t>
  </si>
  <si>
    <t>STV Felben-Wellhausen</t>
  </si>
  <si>
    <t>SATUS Ohringen</t>
  </si>
  <si>
    <t>Barth</t>
  </si>
  <si>
    <t>Mathis</t>
  </si>
  <si>
    <t>Timo</t>
  </si>
  <si>
    <t>Baumberger</t>
  </si>
  <si>
    <t>Evi</t>
  </si>
  <si>
    <t>Baumgartner</t>
  </si>
  <si>
    <t>Borath</t>
  </si>
  <si>
    <t>Tanja</t>
  </si>
  <si>
    <t>Broccon</t>
  </si>
  <si>
    <t>Fabrice</t>
  </si>
  <si>
    <t>Clalüna</t>
  </si>
  <si>
    <t>Andri</t>
  </si>
  <si>
    <t>Flückiger</t>
  </si>
  <si>
    <t>Luca</t>
  </si>
  <si>
    <t>Hänni</t>
  </si>
  <si>
    <t>Heitz</t>
  </si>
  <si>
    <t>Leon</t>
  </si>
  <si>
    <t>Hirsiger</t>
  </si>
  <si>
    <t>Kevin</t>
  </si>
  <si>
    <t>Isliker</t>
  </si>
  <si>
    <t>Nils</t>
  </si>
  <si>
    <t>Kammer</t>
  </si>
  <si>
    <t>Sebastian</t>
  </si>
  <si>
    <t>Alina</t>
  </si>
  <si>
    <t>Adela</t>
  </si>
  <si>
    <t>Lino</t>
  </si>
  <si>
    <t>Meissner</t>
  </si>
  <si>
    <t>Malte</t>
  </si>
  <si>
    <t>Menz</t>
  </si>
  <si>
    <t>Moritz</t>
  </si>
  <si>
    <t>Morgentahler</t>
  </si>
  <si>
    <t>Brian</t>
  </si>
  <si>
    <t>Schär</t>
  </si>
  <si>
    <t>Loris</t>
  </si>
  <si>
    <t>Livio</t>
  </si>
  <si>
    <t>Tortelli</t>
  </si>
  <si>
    <t>Angelo</t>
  </si>
  <si>
    <t>Walker</t>
  </si>
  <si>
    <t>Cassandra</t>
  </si>
  <si>
    <t>Uttwil</t>
  </si>
  <si>
    <t>Koppigen</t>
  </si>
  <si>
    <t>Pfyn</t>
  </si>
  <si>
    <t>Kreuzlingen</t>
  </si>
  <si>
    <t>Staffelbach</t>
  </si>
  <si>
    <t>Arbon</t>
  </si>
  <si>
    <t>Uzwil</t>
  </si>
  <si>
    <t>+41 78 941 84 35</t>
  </si>
  <si>
    <t>+41 79 610 23 40</t>
  </si>
  <si>
    <t>+41 79 811 97 32</t>
  </si>
  <si>
    <t>0767222111</t>
  </si>
  <si>
    <t>076 722 21 11</t>
  </si>
  <si>
    <t>079 746 30 05</t>
  </si>
  <si>
    <t>0767229281</t>
  </si>
  <si>
    <t>+41 76 722 92 81</t>
  </si>
  <si>
    <t>+41 79 388 63 87</t>
  </si>
  <si>
    <t>079 333 09 69</t>
  </si>
  <si>
    <t>079 131 31 86</t>
  </si>
  <si>
    <t>+41 79 906 64 46</t>
  </si>
  <si>
    <t>+41 79 441 95 68</t>
  </si>
  <si>
    <t>+41 77 520 11 21</t>
  </si>
  <si>
    <t>+41 77 426 49 99</t>
  </si>
  <si>
    <t>+41 79 867 67 06</t>
  </si>
  <si>
    <t>062 726 30 06</t>
  </si>
  <si>
    <t>076 247 29 07</t>
  </si>
  <si>
    <t>+41 79 739 55 35</t>
  </si>
  <si>
    <t>079 254 36 41</t>
  </si>
  <si>
    <t>+41 79 357 00 78</t>
  </si>
  <si>
    <t>+41 76 342 99 50</t>
  </si>
  <si>
    <t>+43 660 220 8809</t>
  </si>
  <si>
    <t>0786999509</t>
  </si>
  <si>
    <t>078 699 95 09</t>
  </si>
  <si>
    <t>079 888 11 85</t>
  </si>
  <si>
    <t>+41 76 762 92 94</t>
  </si>
  <si>
    <t>+41 76 607 81 59</t>
  </si>
  <si>
    <t>079 383 46 75</t>
  </si>
  <si>
    <t>+41 79 718 95 42</t>
  </si>
  <si>
    <t>+41 71 411 95 89</t>
  </si>
  <si>
    <t>+41 79 126 13 34</t>
  </si>
  <si>
    <t>079 344 42 37</t>
  </si>
  <si>
    <t>+41 79 944 77 48</t>
  </si>
  <si>
    <t>+41 78 403 65 85</t>
  </si>
  <si>
    <t>076 529 27 03</t>
  </si>
  <si>
    <t>FG RiWi</t>
  </si>
  <si>
    <t>FB Elgg-Ettenhausen</t>
  </si>
  <si>
    <t>STV Vordemwald</t>
  </si>
  <si>
    <t>TV Oberwinterthur</t>
  </si>
  <si>
    <t>FG RIWI</t>
  </si>
  <si>
    <t>SUS  Peter &amp; Paul  Züri</t>
  </si>
  <si>
    <t>mathis.barth@bluewin.ch</t>
  </si>
  <si>
    <t>timo.barth@bluewin.ch</t>
  </si>
  <si>
    <t>baumberger.e@gawnet.ch</t>
  </si>
  <si>
    <t>daniel.baumgartner91@gmail.com</t>
  </si>
  <si>
    <t>tobias25baumgartner@gmail.com</t>
  </si>
  <si>
    <t>tanja.borath@bluewin.ch</t>
  </si>
  <si>
    <t>Fabrice.broccon@icloud.com</t>
  </si>
  <si>
    <t>a.claluena@hotmail.ch</t>
  </si>
  <si>
    <t>lucaflueckiger@bluewin.ch</t>
  </si>
  <si>
    <t>haennim@bluewin.ch</t>
  </si>
  <si>
    <t>leon.heitz@gmail.com</t>
  </si>
  <si>
    <t>kevinhir03@gmail.com</t>
  </si>
  <si>
    <t>lucahochuli261@gmail.com</t>
  </si>
  <si>
    <t>nils.isliker@gmail.com</t>
  </si>
  <si>
    <t>sebastian_kammer@gmx.de</t>
  </si>
  <si>
    <t>alinakupper3@gmail.com</t>
  </si>
  <si>
    <t>adelalang04@gmail.com</t>
  </si>
  <si>
    <t>jonas.lenz@gmx.at</t>
  </si>
  <si>
    <t>lino.martin2006@gmail.com</t>
  </si>
  <si>
    <t>michael.j.meier@gmx.ch</t>
  </si>
  <si>
    <t>maltefinnmeissner@gmail.com</t>
  </si>
  <si>
    <t>menzmoritz1@gmail.com</t>
  </si>
  <si>
    <t>brian@morg.ch</t>
  </si>
  <si>
    <t>loris.schaer@bluewin.ch</t>
  </si>
  <si>
    <t>livio.sprenger@thurweb.ch</t>
  </si>
  <si>
    <t>tortelli.angelo@gmail.com</t>
  </si>
  <si>
    <t>lorenz.walker@hispeed.ch</t>
  </si>
  <si>
    <t>cassandra.hagen@hotmail.com</t>
  </si>
  <si>
    <t>Z Schiri</t>
  </si>
  <si>
    <t>Krause</t>
  </si>
  <si>
    <t>Ole</t>
  </si>
  <si>
    <t>Kündig</t>
  </si>
  <si>
    <t>Anja</t>
  </si>
  <si>
    <t>Janne</t>
  </si>
  <si>
    <t>Spiranelli</t>
  </si>
  <si>
    <t>Karin</t>
  </si>
  <si>
    <t>Zezikon</t>
  </si>
  <si>
    <t>076 307 88 86</t>
  </si>
  <si>
    <t>+41 77 446 80 35</t>
  </si>
  <si>
    <t>+41 76 686 77 76</t>
  </si>
  <si>
    <t>078 766 66 48</t>
  </si>
  <si>
    <t>076 521 90 80</t>
  </si>
  <si>
    <t>ole@thurweb.ch</t>
  </si>
  <si>
    <t>anjakuendig02@gmail.com</t>
  </si>
  <si>
    <t>janne.meissner@gmx.ch</t>
  </si>
  <si>
    <t>fabienneschaer@bluewin.ch</t>
  </si>
  <si>
    <t>karin.spiranelli@bluewin.ch</t>
  </si>
  <si>
    <t>marco.tenini@silvanojud.ch</t>
  </si>
  <si>
    <t>Schulhaus Tössfeld</t>
  </si>
  <si>
    <t>OK Zugestellt</t>
  </si>
  <si>
    <t>9205 Waldkirch</t>
  </si>
  <si>
    <t>Kunstras Sportpl Breiten</t>
  </si>
  <si>
    <t>Waldkirch ( 3. Liga F )</t>
  </si>
  <si>
    <t>Felben - Wellhausen</t>
  </si>
  <si>
    <t>Schulhaus Heuberghalle</t>
  </si>
  <si>
    <t>Grossmatt</t>
  </si>
  <si>
    <t>Sportplatz Schulhaus</t>
  </si>
  <si>
    <t>11: 9/ 11: 8/ 11:5/ 14:12/ 11:08</t>
  </si>
  <si>
    <t>Schulhaus Ettenhausen</t>
  </si>
  <si>
    <t>Schlieren</t>
  </si>
  <si>
    <t>Sportplatz Unterrohr</t>
  </si>
  <si>
    <t xml:space="preserve"> 6:11/ 15:14/11: 9/ 11: 8/ 4:11/ 9:11/ 4:11/ 11: 8/ 7:11</t>
  </si>
  <si>
    <t>8471 Dägerlen</t>
  </si>
  <si>
    <t>Schulweg 1</t>
  </si>
  <si>
    <t>Schulhaus Zimmerberg</t>
  </si>
  <si>
    <t>Sprtplatz Grünfeld</t>
  </si>
  <si>
    <t>Im See</t>
  </si>
  <si>
    <t>Lugwies</t>
  </si>
  <si>
    <t>&lt;remo.pinchera@faustball-widnau.ch&gt; </t>
  </si>
  <si>
    <t>07:11/ 6:11/ 7:11/ 8:11/ 11: 9/ 7:11</t>
  </si>
  <si>
    <t xml:space="preserve"> 7:11/13:15/11:13/ 6:11 7:11</t>
  </si>
  <si>
    <t>Bezahlt</t>
  </si>
  <si>
    <t>12:14/ 6:11/10:12/ 8:11/ 8:11</t>
  </si>
  <si>
    <t xml:space="preserve"> 7:11/11: 4/10:121/11: 6/11: 5/11: 8/11: 8</t>
  </si>
  <si>
    <t>Schulanlage Seefeld</t>
  </si>
  <si>
    <t>remo.pinchera@faustball-widnau.ch</t>
  </si>
  <si>
    <t>t</t>
  </si>
  <si>
    <t>Oberentfelden</t>
  </si>
  <si>
    <t>Erlenweg</t>
  </si>
  <si>
    <t xml:space="preserve"> 6:11/ 6:11/ 7:11/ 8:11/ 9:11</t>
  </si>
  <si>
    <t>11: 6/11: 9/ 9:11/11: 5/11: 3/11 :5</t>
  </si>
  <si>
    <t>Verschoben</t>
  </si>
  <si>
    <t>12:14/11: 9/ 8:11/14:15/11: 9/15:12/ 8:11/10:12</t>
  </si>
  <si>
    <t>10:12/12:10/ 9:11/ 7:11/ 9:11/10:12</t>
  </si>
  <si>
    <t>Oberwinterthur</t>
  </si>
  <si>
    <t xml:space="preserve">Ettenhausen </t>
  </si>
  <si>
    <t>In Elgg im See</t>
  </si>
  <si>
    <t>SUS Widnau   ( 2. Liga F )</t>
  </si>
  <si>
    <t>Sportplatz Giswil</t>
  </si>
  <si>
    <t>Aalpnach</t>
  </si>
  <si>
    <t xml:space="preserve"> 7:11/11: 8/ 7:11/11:13/11:13/ 8:11</t>
  </si>
  <si>
    <t>11: 3/11: 4/11: 6/11: 5/11: 7</t>
  </si>
  <si>
    <t xml:space="preserve"> 9:11/11:13/10:12/11: 5/11: 6/11: 8/ 9:11/11: 6/11:13 </t>
  </si>
  <si>
    <t>11: 8/ 3:11/ 7:11/ 7:11/ 14:12/ 6:11/ 7:11</t>
  </si>
  <si>
    <t xml:space="preserve"> 8:11/11: 8/11: 3/11: 6/ 8:11/10:12/ 8:11/ 8:11 </t>
  </si>
  <si>
    <t>11: 7/ 9:11/11: 8/15:14/11: 8/ 9:11/11: 6</t>
  </si>
  <si>
    <t>Stadlerstrasse</t>
  </si>
  <si>
    <t>CH CUP 1/8 Final</t>
  </si>
  <si>
    <t>10:12/10:12/10:12/11: 6/6:11/ 3:11</t>
  </si>
  <si>
    <t>CH CUP 1/4 Final</t>
  </si>
  <si>
    <t xml:space="preserve">1/16 Final </t>
  </si>
  <si>
    <t>10:12/13:11/11: 7/ 6:11/ 8:11/11:13/ 7:11</t>
  </si>
  <si>
    <t>Oberentfelde</t>
  </si>
  <si>
    <t>Rest Habsburg</t>
  </si>
  <si>
    <t>14:12/11: 8/ 6:11/11: 9/12:10/ 7:11/11: 6</t>
  </si>
  <si>
    <t>Alpnach</t>
  </si>
  <si>
    <t>11: 5/12:10/13:15/10:12/10:12/11: 8/11: 5/ 8:11/12:10</t>
  </si>
  <si>
    <t xml:space="preserve"> 7:11/11:13/11: 6/ 8:11/11: 6/ 4:11/ 7:11</t>
  </si>
  <si>
    <t>Berlingen Schulhaus</t>
  </si>
  <si>
    <t>Egelsee</t>
  </si>
  <si>
    <t>10:12/10:12/  9:11/15:14/11:13/11: 4/ 7:11</t>
  </si>
  <si>
    <t>11: 4/11: 3/11: 6/12:10/11: 8</t>
  </si>
  <si>
    <t>Sportplatz Grünfeld</t>
  </si>
  <si>
    <t>11: 8/11: 7/ 7:11/11: 7/11: 6/13:11</t>
  </si>
  <si>
    <t xml:space="preserve"> 4:11/11: 8/ 9:11/12:14/ 7:11/13:15 </t>
  </si>
  <si>
    <t xml:space="preserve"> 9:11/11: 6/ 6:11/11: 9/ 8:11/12:10/ 8:11/14:15</t>
  </si>
  <si>
    <t>11: 7/11: 7/ 8:11/10:12/ 9:11/10:12/11 :7 11:7/ 7:11</t>
  </si>
  <si>
    <t>Schulhaus</t>
  </si>
  <si>
    <t xml:space="preserve">Resultatmeldung bis spätestens 12 Uhr des Folgetages durch den Schiedsrichter 
per E-Mail, SMS oder WhatsApp an  </t>
  </si>
  <si>
    <t>Aegelsee</t>
  </si>
  <si>
    <t>11: 6/ 7:11/ 9:11/ 9:11/ 9:11/ 9:11</t>
  </si>
  <si>
    <t>11: 3/13:11/11: 7/12:10/11: 9</t>
  </si>
  <si>
    <t>spiko@faustball-svd.clubdesk.com</t>
  </si>
  <si>
    <t>11: 7/11: 9/11: 9/ 5:11/ 5:11/ 6:11/ 6:11/11:13</t>
  </si>
  <si>
    <t>CH CUP 1/2 Final</t>
  </si>
  <si>
    <t>13:11/ 8/10:12/ 6:11/ 9:11/ 5:11/13:15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</si>
</sst>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Fr.&quot;\ #,##0.00"/>
    <numFmt numFmtId="165" formatCode="h/mm&quot; h&quot;;@"/>
    <numFmt numFmtId="166" formatCode="h/mm"/>
    <numFmt numFmtId="167" formatCode="ddd\ dd/mm/yy"/>
    <numFmt numFmtId="168" formatCode="ddd\ dd/mm/yyyy"/>
    <numFmt numFmtId="169" formatCode="h/mm&quot; Uhr&quot;;@"/>
    <numFmt numFmtId="170" formatCode="dd/\ mm"/>
    <numFmt numFmtId="171" formatCode="00"/>
    <numFmt numFmtId="172" formatCode="dd/mm/yy;@"/>
    <numFmt numFmtId="173" formatCode="ddd/\ dd/\ mmm/\ yyyy"/>
    <numFmt numFmtId="174" formatCode="ddd/dd/mmm/yyyy"/>
    <numFmt numFmtId="175" formatCode="ddd/dd/\ mmm/\ yyyy"/>
  </numFmts>
  <fonts count="144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4"/>
      <name val="Arial"/>
      <family val="2"/>
    </font>
    <font>
      <sz val="10.5"/>
      <name val="Frutiger 45 Light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b/>
      <sz val="2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9"/>
      <name val="Wingdings"/>
      <charset val="2"/>
    </font>
    <font>
      <sz val="11"/>
      <name val="Arial"/>
      <family val="2"/>
    </font>
    <font>
      <sz val="10"/>
      <color indexed="48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u/>
      <sz val="11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1"/>
      <color theme="1"/>
      <name val="Arial"/>
      <family val="2"/>
    </font>
    <font>
      <b/>
      <sz val="11"/>
      <color indexed="10"/>
      <name val="Arial"/>
      <family val="2"/>
    </font>
    <font>
      <b/>
      <strike/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0"/>
      <color theme="11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indexed="81"/>
      <name val="Segoe UI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22"/>
      <name val="Arial"/>
      <family val="2"/>
    </font>
    <font>
      <i/>
      <sz val="20"/>
      <name val="Traditional Arabic"/>
      <family val="1"/>
    </font>
    <font>
      <sz val="18"/>
      <name val="Arial Narrow"/>
      <family val="2"/>
    </font>
    <font>
      <b/>
      <sz val="18"/>
      <color rgb="FFFF0000"/>
      <name val="Arial"/>
      <family val="2"/>
    </font>
    <font>
      <sz val="14"/>
      <color rgb="FFFF0000"/>
      <name val="Arial"/>
      <family val="2"/>
    </font>
    <font>
      <b/>
      <sz val="18"/>
      <name val="Arial Narrow"/>
      <family val="2"/>
    </font>
    <font>
      <u/>
      <sz val="11"/>
      <color indexed="12"/>
      <name val="Arial"/>
      <family val="2"/>
    </font>
    <font>
      <strike/>
      <u/>
      <sz val="11"/>
      <color theme="10"/>
      <name val="Cambria"/>
      <family val="1"/>
    </font>
    <font>
      <strike/>
      <sz val="11"/>
      <name val="Cambria"/>
      <family val="1"/>
    </font>
    <font>
      <strike/>
      <sz val="11"/>
      <color theme="1"/>
      <name val="Cambria"/>
      <family val="1"/>
    </font>
    <font>
      <u/>
      <sz val="11"/>
      <color theme="10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u/>
      <sz val="11"/>
      <name val="Arial"/>
      <family val="2"/>
    </font>
    <font>
      <b/>
      <sz val="11"/>
      <color indexed="8"/>
      <name val="Arial"/>
      <family val="2"/>
    </font>
    <font>
      <b/>
      <strike/>
      <sz val="12"/>
      <color theme="1"/>
      <name val="Arial"/>
      <family val="2"/>
    </font>
    <font>
      <b/>
      <strike/>
      <sz val="12"/>
      <name val="Arial"/>
      <family val="2"/>
    </font>
    <font>
      <b/>
      <strike/>
      <sz val="12"/>
      <color indexed="10"/>
      <name val="Arial"/>
      <family val="2"/>
    </font>
    <font>
      <strike/>
      <sz val="12"/>
      <color theme="1"/>
      <name val="Arial"/>
      <family val="2"/>
    </font>
    <font>
      <strike/>
      <sz val="12"/>
      <name val="Arial"/>
      <family val="2"/>
    </font>
    <font>
      <strike/>
      <u/>
      <sz val="12"/>
      <color indexed="12"/>
      <name val="Arial"/>
      <family val="2"/>
    </font>
    <font>
      <sz val="11"/>
      <color indexed="81"/>
      <name val="Segoe UI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1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14"/>
      <name val="Arial"/>
      <family val="2"/>
    </font>
    <font>
      <sz val="10"/>
      <color rgb="FFFF0000"/>
      <name val="Arial"/>
      <family val="2"/>
    </font>
    <font>
      <strike/>
      <sz val="11"/>
      <color theme="1"/>
      <name val="Arial"/>
      <family val="2"/>
    </font>
    <font>
      <strike/>
      <sz val="11"/>
      <name val="Arial"/>
      <family val="2"/>
    </font>
    <font>
      <strike/>
      <u/>
      <sz val="10"/>
      <color indexed="12"/>
      <name val="Arial"/>
      <family val="2"/>
    </font>
    <font>
      <sz val="11"/>
      <color rgb="FFFF0000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b/>
      <strike/>
      <sz val="12"/>
      <color rgb="FFFF0000"/>
      <name val="Arial"/>
      <family val="2"/>
    </font>
    <font>
      <sz val="11"/>
      <name val="Calibri"/>
      <family val="2"/>
    </font>
    <font>
      <b/>
      <sz val="16"/>
      <color theme="1"/>
      <name val="Arial"/>
      <family val="2"/>
    </font>
    <font>
      <sz val="9.5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</fills>
  <borders count="20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7">
    <xf numFmtId="0" fontId="0" fillId="0" borderId="0"/>
    <xf numFmtId="0" fontId="36" fillId="7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1" applyNumberFormat="0" applyAlignment="0" applyProtection="0"/>
    <xf numFmtId="0" fontId="38" fillId="11" borderId="2" applyNumberFormat="0" applyAlignment="0" applyProtection="0"/>
    <xf numFmtId="0" fontId="39" fillId="4" borderId="2" applyNumberFormat="0" applyAlignment="0" applyProtection="0"/>
    <xf numFmtId="0" fontId="40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4" borderId="0" applyNumberFormat="0" applyBorder="0" applyAlignment="0" applyProtection="0"/>
    <xf numFmtId="0" fontId="33" fillId="2" borderId="4" applyNumberFormat="0" applyFont="0" applyAlignment="0" applyProtection="0"/>
    <xf numFmtId="0" fontId="45" fillId="12" borderId="0" applyNumberFormat="0" applyBorder="0" applyAlignment="0" applyProtection="0"/>
    <xf numFmtId="0" fontId="33" fillId="0" borderId="0"/>
    <xf numFmtId="0" fontId="46" fillId="0" borderId="0" applyNumberFormat="0" applyFill="0" applyBorder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9" fillId="0" borderId="7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8" applyNumberFormat="0" applyFill="0" applyAlignment="0" applyProtection="0"/>
    <xf numFmtId="0" fontId="50" fillId="0" borderId="0" applyNumberFormat="0" applyFill="0" applyBorder="0" applyAlignment="0" applyProtection="0"/>
    <xf numFmtId="0" fontId="51" fillId="13" borderId="9" applyNumberFormat="0" applyAlignment="0" applyProtection="0"/>
    <xf numFmtId="0" fontId="55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3" fillId="0" borderId="0"/>
  </cellStyleXfs>
  <cellXfs count="15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34" fillId="0" borderId="10" xfId="0" applyFont="1" applyBorder="1"/>
    <xf numFmtId="0" fontId="34" fillId="0" borderId="10" xfId="0" applyFont="1" applyBorder="1" applyAlignment="1">
      <alignment horizontal="center"/>
    </xf>
    <xf numFmtId="0" fontId="58" fillId="0" borderId="10" xfId="0" applyFont="1" applyBorder="1" applyAlignment="1">
      <alignment horizontal="center"/>
    </xf>
    <xf numFmtId="0" fontId="34" fillId="0" borderId="0" xfId="0" applyFont="1"/>
    <xf numFmtId="0" fontId="0" fillId="0" borderId="10" xfId="0" applyBorder="1" applyAlignment="1">
      <alignment horizontal="left"/>
    </xf>
    <xf numFmtId="0" fontId="53" fillId="0" borderId="0" xfId="0" applyFont="1"/>
    <xf numFmtId="0" fontId="35" fillId="0" borderId="0" xfId="0" applyFont="1"/>
    <xf numFmtId="0" fontId="67" fillId="0" borderId="0" xfId="0" applyFont="1" applyAlignment="1">
      <alignment horizontal="centerContinuous" vertical="center"/>
    </xf>
    <xf numFmtId="0" fontId="68" fillId="0" borderId="0" xfId="0" applyFont="1" applyAlignment="1">
      <alignment horizontal="centerContinuous" vertical="center"/>
    </xf>
    <xf numFmtId="0" fontId="68" fillId="0" borderId="0" xfId="0" applyFont="1"/>
    <xf numFmtId="0" fontId="69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33" fillId="0" borderId="0" xfId="0" applyFont="1"/>
    <xf numFmtId="0" fontId="71" fillId="0" borderId="0" xfId="0" applyFont="1" applyAlignment="1">
      <alignment horizontal="center" vertical="center"/>
    </xf>
    <xf numFmtId="0" fontId="74" fillId="0" borderId="0" xfId="0" applyFont="1" applyAlignment="1">
      <alignment horizontal="center"/>
    </xf>
    <xf numFmtId="14" fontId="74" fillId="0" borderId="0" xfId="0" applyNumberFormat="1" applyFont="1" applyAlignment="1">
      <alignment horizontal="center"/>
    </xf>
    <xf numFmtId="0" fontId="72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33" fillId="0" borderId="25" xfId="0" applyFont="1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left"/>
    </xf>
    <xf numFmtId="0" fontId="0" fillId="0" borderId="0" xfId="0" applyAlignment="1">
      <alignment horizontal="center" vertical="center"/>
    </xf>
    <xf numFmtId="0" fontId="6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2" fillId="0" borderId="0" xfId="0" applyFont="1" applyAlignment="1">
      <alignment horizontal="left"/>
    </xf>
    <xf numFmtId="0" fontId="33" fillId="0" borderId="0" xfId="0" applyFont="1" applyAlignment="1">
      <alignment vertical="center"/>
    </xf>
    <xf numFmtId="0" fontId="68" fillId="0" borderId="0" xfId="0" applyFont="1" applyAlignment="1">
      <alignment horizontal="left" vertical="center"/>
    </xf>
    <xf numFmtId="0" fontId="6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6" fillId="0" borderId="0" xfId="0" applyFont="1" applyAlignment="1">
      <alignment horizontal="right" vertical="center"/>
    </xf>
    <xf numFmtId="0" fontId="76" fillId="0" borderId="27" xfId="0" applyFont="1" applyBorder="1" applyAlignment="1">
      <alignment horizontal="centerContinuous" vertical="center"/>
    </xf>
    <xf numFmtId="0" fontId="76" fillId="0" borderId="27" xfId="0" applyFont="1" applyBorder="1" applyAlignment="1">
      <alignment vertical="center"/>
    </xf>
    <xf numFmtId="0" fontId="76" fillId="0" borderId="28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76" fillId="0" borderId="11" xfId="0" applyFont="1" applyBorder="1" applyAlignment="1">
      <alignment vertical="center"/>
    </xf>
    <xf numFmtId="0" fontId="76" fillId="0" borderId="11" xfId="0" applyFont="1" applyBorder="1" applyAlignment="1">
      <alignment horizontal="centerContinuous" vertical="center"/>
    </xf>
    <xf numFmtId="0" fontId="76" fillId="0" borderId="11" xfId="0" applyFont="1" applyBorder="1" applyAlignment="1">
      <alignment horizontal="left" vertical="center"/>
    </xf>
    <xf numFmtId="0" fontId="77" fillId="0" borderId="11" xfId="0" applyFont="1" applyBorder="1" applyAlignment="1">
      <alignment horizontal="right" vertical="center"/>
    </xf>
    <xf numFmtId="0" fontId="76" fillId="0" borderId="11" xfId="0" applyFont="1" applyBorder="1" applyAlignment="1">
      <alignment horizontal="right" vertical="center"/>
    </xf>
    <xf numFmtId="0" fontId="76" fillId="0" borderId="12" xfId="0" applyFont="1" applyBorder="1" applyAlignment="1">
      <alignment horizontal="center" vertical="center"/>
    </xf>
    <xf numFmtId="0" fontId="52" fillId="0" borderId="11" xfId="0" applyFont="1" applyBorder="1" applyAlignment="1">
      <alignment horizontal="left" vertical="center"/>
    </xf>
    <xf numFmtId="0" fontId="52" fillId="0" borderId="1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3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2" fillId="0" borderId="0" xfId="0" applyFont="1" applyAlignment="1">
      <alignment horizontal="centerContinuous" vertical="center"/>
    </xf>
    <xf numFmtId="0" fontId="52" fillId="0" borderId="0" xfId="0" applyFont="1" applyAlignment="1">
      <alignment horizontal="centerContinuous"/>
    </xf>
    <xf numFmtId="0" fontId="52" fillId="0" borderId="0" xfId="0" applyFont="1"/>
    <xf numFmtId="0" fontId="0" fillId="0" borderId="35" xfId="0" applyBorder="1" applyAlignment="1">
      <alignment horizontal="center"/>
    </xf>
    <xf numFmtId="0" fontId="33" fillId="0" borderId="0" xfId="0" applyFont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68" fillId="0" borderId="13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68" fillId="0" borderId="37" xfId="0" applyFont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68" fillId="0" borderId="21" xfId="0" applyFont="1" applyBorder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55" fillId="0" borderId="0" xfId="0" applyFont="1"/>
    <xf numFmtId="0" fontId="35" fillId="0" borderId="0" xfId="0" applyFont="1" applyAlignment="1">
      <alignment horizontal="left" vertical="center"/>
    </xf>
    <xf numFmtId="0" fontId="71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/>
    </xf>
    <xf numFmtId="0" fontId="33" fillId="0" borderId="10" xfId="0" applyFont="1" applyBorder="1"/>
    <xf numFmtId="0" fontId="33" fillId="0" borderId="10" xfId="0" applyFont="1" applyBorder="1" applyAlignment="1">
      <alignment horizontal="center"/>
    </xf>
    <xf numFmtId="0" fontId="72" fillId="0" borderId="18" xfId="0" applyFont="1" applyBorder="1" applyAlignment="1">
      <alignment horizontal="center" vertical="center"/>
    </xf>
    <xf numFmtId="0" fontId="68" fillId="0" borderId="18" xfId="0" applyFont="1" applyBorder="1"/>
    <xf numFmtId="0" fontId="33" fillId="0" borderId="18" xfId="0" applyFont="1" applyBorder="1" applyAlignment="1">
      <alignment horizontal="center"/>
    </xf>
    <xf numFmtId="0" fontId="71" fillId="0" borderId="3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33" fillId="0" borderId="39" xfId="0" applyFont="1" applyBorder="1" applyAlignment="1">
      <alignment vertical="center"/>
    </xf>
    <xf numFmtId="0" fontId="72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vertical="center"/>
    </xf>
    <xf numFmtId="0" fontId="73" fillId="0" borderId="10" xfId="0" applyFont="1" applyBorder="1"/>
    <xf numFmtId="0" fontId="73" fillId="0" borderId="10" xfId="0" applyFont="1" applyBorder="1" applyAlignment="1">
      <alignment horizontal="center" vertical="center"/>
    </xf>
    <xf numFmtId="0" fontId="75" fillId="0" borderId="18" xfId="0" applyFont="1" applyBorder="1"/>
    <xf numFmtId="0" fontId="34" fillId="0" borderId="43" xfId="0" applyFont="1" applyBorder="1" applyAlignment="1">
      <alignment horizontal="center" shrinkToFit="1"/>
    </xf>
    <xf numFmtId="0" fontId="34" fillId="0" borderId="44" xfId="0" applyFont="1" applyBorder="1" applyAlignment="1">
      <alignment horizontal="center" shrinkToFit="1"/>
    </xf>
    <xf numFmtId="0" fontId="34" fillId="0" borderId="42" xfId="0" applyFont="1" applyBorder="1" applyAlignment="1">
      <alignment horizontal="center" shrinkToFit="1"/>
    </xf>
    <xf numFmtId="0" fontId="34" fillId="0" borderId="45" xfId="0" applyFont="1" applyBorder="1" applyAlignment="1">
      <alignment horizontal="center" shrinkToFit="1"/>
    </xf>
    <xf numFmtId="0" fontId="34" fillId="0" borderId="46" xfId="0" applyFont="1" applyBorder="1" applyAlignment="1">
      <alignment horizontal="center" shrinkToFit="1"/>
    </xf>
    <xf numFmtId="0" fontId="34" fillId="0" borderId="40" xfId="0" applyFont="1" applyBorder="1" applyAlignment="1">
      <alignment horizontal="center" shrinkToFit="1"/>
    </xf>
    <xf numFmtId="0" fontId="34" fillId="0" borderId="18" xfId="0" applyFont="1" applyBorder="1" applyAlignment="1">
      <alignment horizontal="center" shrinkToFit="1"/>
    </xf>
    <xf numFmtId="0" fontId="34" fillId="0" borderId="47" xfId="0" applyFont="1" applyBorder="1" applyAlignment="1">
      <alignment horizontal="center" shrinkToFit="1"/>
    </xf>
    <xf numFmtId="0" fontId="34" fillId="0" borderId="41" xfId="0" applyFont="1" applyBorder="1" applyAlignment="1">
      <alignment horizontal="center" shrinkToFit="1"/>
    </xf>
    <xf numFmtId="0" fontId="34" fillId="0" borderId="48" xfId="0" applyFont="1" applyBorder="1" applyAlignment="1">
      <alignment horizontal="center" shrinkToFit="1"/>
    </xf>
    <xf numFmtId="0" fontId="34" fillId="0" borderId="49" xfId="0" applyFont="1" applyBorder="1" applyAlignment="1">
      <alignment horizontal="center" shrinkToFit="1"/>
    </xf>
    <xf numFmtId="0" fontId="34" fillId="0" borderId="50" xfId="0" applyFont="1" applyBorder="1" applyAlignment="1">
      <alignment horizontal="center" shrinkToFit="1"/>
    </xf>
    <xf numFmtId="0" fontId="34" fillId="0" borderId="51" xfId="0" applyFont="1" applyBorder="1" applyAlignment="1">
      <alignment horizontal="center" shrinkToFit="1"/>
    </xf>
    <xf numFmtId="0" fontId="34" fillId="0" borderId="52" xfId="0" applyFont="1" applyBorder="1" applyAlignment="1">
      <alignment horizontal="center" shrinkToFit="1"/>
    </xf>
    <xf numFmtId="0" fontId="34" fillId="0" borderId="53" xfId="0" applyFont="1" applyBorder="1" applyAlignment="1">
      <alignment horizontal="center" shrinkToFit="1"/>
    </xf>
    <xf numFmtId="0" fontId="34" fillId="0" borderId="54" xfId="0" applyFont="1" applyBorder="1" applyAlignment="1">
      <alignment horizontal="center" shrinkToFit="1"/>
    </xf>
    <xf numFmtId="0" fontId="34" fillId="0" borderId="19" xfId="0" applyFont="1" applyBorder="1" applyAlignment="1">
      <alignment horizontal="center" shrinkToFit="1"/>
    </xf>
    <xf numFmtId="0" fontId="34" fillId="0" borderId="55" xfId="0" applyFont="1" applyBorder="1" applyAlignment="1">
      <alignment horizontal="center" shrinkToFit="1"/>
    </xf>
    <xf numFmtId="0" fontId="34" fillId="0" borderId="56" xfId="0" applyFont="1" applyBorder="1" applyAlignment="1">
      <alignment horizontal="center" shrinkToFit="1"/>
    </xf>
    <xf numFmtId="0" fontId="34" fillId="0" borderId="17" xfId="0" applyFont="1" applyBorder="1" applyAlignment="1">
      <alignment horizontal="center" shrinkToFit="1"/>
    </xf>
    <xf numFmtId="0" fontId="57" fillId="0" borderId="0" xfId="0" applyFont="1" applyAlignment="1">
      <alignment horizontal="center" shrinkToFit="1"/>
    </xf>
    <xf numFmtId="0" fontId="34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center" shrinkToFit="1"/>
    </xf>
    <xf numFmtId="0" fontId="34" fillId="0" borderId="10" xfId="0" applyFont="1" applyBorder="1" applyAlignment="1">
      <alignment horizontal="right"/>
    </xf>
    <xf numFmtId="0" fontId="34" fillId="0" borderId="10" xfId="19" applyFont="1" applyBorder="1"/>
    <xf numFmtId="0" fontId="34" fillId="0" borderId="0" xfId="19" applyFont="1"/>
    <xf numFmtId="0" fontId="62" fillId="0" borderId="39" xfId="19" applyFont="1" applyBorder="1" applyAlignment="1">
      <alignment horizontal="center"/>
    </xf>
    <xf numFmtId="0" fontId="33" fillId="0" borderId="0" xfId="19"/>
    <xf numFmtId="14" fontId="33" fillId="0" borderId="0" xfId="19" applyNumberFormat="1"/>
    <xf numFmtId="0" fontId="0" fillId="0" borderId="32" xfId="0" applyBorder="1"/>
    <xf numFmtId="0" fontId="61" fillId="0" borderId="0" xfId="0" applyFont="1" applyAlignment="1">
      <alignment horizontal="center" vertical="center"/>
    </xf>
    <xf numFmtId="0" fontId="68" fillId="0" borderId="32" xfId="0" applyFont="1" applyBorder="1"/>
    <xf numFmtId="0" fontId="0" fillId="0" borderId="58" xfId="0" applyBorder="1"/>
    <xf numFmtId="0" fontId="53" fillId="0" borderId="57" xfId="0" applyFont="1" applyBorder="1" applyAlignment="1">
      <alignment horizontal="centerContinuous" vertical="center"/>
    </xf>
    <xf numFmtId="0" fontId="53" fillId="0" borderId="37" xfId="0" applyFont="1" applyBorder="1" applyAlignment="1">
      <alignment horizontal="centerContinuous" vertical="center"/>
    </xf>
    <xf numFmtId="0" fontId="67" fillId="0" borderId="58" xfId="0" applyFont="1" applyBorder="1" applyAlignment="1">
      <alignment horizontal="centerContinuous" vertical="center"/>
    </xf>
    <xf numFmtId="0" fontId="68" fillId="0" borderId="58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5" fillId="0" borderId="0" xfId="0" applyFont="1" applyAlignment="1">
      <alignment horizontal="centerContinuous" vertical="center"/>
    </xf>
    <xf numFmtId="0" fontId="35" fillId="0" borderId="58" xfId="0" applyFont="1" applyBorder="1" applyAlignment="1">
      <alignment horizontal="centerContinuous" vertical="center"/>
    </xf>
    <xf numFmtId="0" fontId="33" fillId="0" borderId="15" xfId="0" applyFont="1" applyBorder="1" applyAlignment="1">
      <alignment horizontal="center"/>
    </xf>
    <xf numFmtId="0" fontId="56" fillId="0" borderId="13" xfId="0" applyFont="1" applyBorder="1" applyAlignment="1">
      <alignment horizontal="center"/>
    </xf>
    <xf numFmtId="0" fontId="80" fillId="0" borderId="36" xfId="0" applyFont="1" applyBorder="1" applyAlignment="1">
      <alignment horizontal="center"/>
    </xf>
    <xf numFmtId="0" fontId="56" fillId="0" borderId="61" xfId="0" applyFont="1" applyBorder="1" applyAlignment="1">
      <alignment horizontal="center"/>
    </xf>
    <xf numFmtId="0" fontId="0" fillId="0" borderId="26" xfId="0" applyBorder="1" applyAlignment="1">
      <alignment vertical="center"/>
    </xf>
    <xf numFmtId="0" fontId="33" fillId="0" borderId="58" xfId="0" applyFont="1" applyBorder="1"/>
    <xf numFmtId="0" fontId="68" fillId="0" borderId="58" xfId="0" applyFont="1" applyBorder="1" applyAlignment="1">
      <alignment horizontal="left" vertical="center"/>
    </xf>
    <xf numFmtId="0" fontId="76" fillId="0" borderId="59" xfId="0" applyFont="1" applyBorder="1" applyAlignment="1">
      <alignment vertical="center"/>
    </xf>
    <xf numFmtId="0" fontId="52" fillId="0" borderId="60" xfId="0" applyFont="1" applyBorder="1" applyAlignment="1">
      <alignment vertical="center"/>
    </xf>
    <xf numFmtId="0" fontId="33" fillId="0" borderId="64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  <xf numFmtId="0" fontId="52" fillId="0" borderId="58" xfId="0" applyFont="1" applyBorder="1" applyAlignment="1">
      <alignment horizontal="centerContinuous" vertical="center"/>
    </xf>
    <xf numFmtId="0" fontId="57" fillId="0" borderId="32" xfId="0" applyFont="1" applyBorder="1" applyAlignment="1">
      <alignment horizontal="center" shrinkToFit="1"/>
    </xf>
    <xf numFmtId="0" fontId="67" fillId="0" borderId="58" xfId="0" applyFont="1" applyBorder="1" applyAlignment="1">
      <alignment vertical="center"/>
    </xf>
    <xf numFmtId="0" fontId="34" fillId="0" borderId="32" xfId="0" applyFont="1" applyBorder="1" applyAlignment="1">
      <alignment horizontal="center" shrinkToFit="1"/>
    </xf>
    <xf numFmtId="0" fontId="0" fillId="0" borderId="32" xfId="0" applyBorder="1" applyAlignment="1">
      <alignment horizontal="center" vertical="center"/>
    </xf>
    <xf numFmtId="0" fontId="68" fillId="0" borderId="62" xfId="0" applyFont="1" applyBorder="1" applyAlignment="1">
      <alignment horizontal="left" vertical="center"/>
    </xf>
    <xf numFmtId="0" fontId="68" fillId="0" borderId="21" xfId="0" applyFont="1" applyBorder="1" applyAlignment="1">
      <alignment horizontal="left" vertical="center"/>
    </xf>
    <xf numFmtId="0" fontId="68" fillId="0" borderId="66" xfId="0" applyFont="1" applyBorder="1" applyAlignment="1">
      <alignment horizontal="center" vertical="center"/>
    </xf>
    <xf numFmtId="0" fontId="68" fillId="0" borderId="21" xfId="0" applyFont="1" applyBorder="1" applyAlignment="1">
      <alignment horizontal="centerContinuous" vertical="center"/>
    </xf>
    <xf numFmtId="0" fontId="0" fillId="0" borderId="21" xfId="0" applyBorder="1"/>
    <xf numFmtId="0" fontId="61" fillId="0" borderId="0" xfId="0" applyFont="1" applyAlignment="1">
      <alignment vertical="center"/>
    </xf>
    <xf numFmtId="0" fontId="0" fillId="0" borderId="16" xfId="0" applyBorder="1"/>
    <xf numFmtId="0" fontId="0" fillId="0" borderId="10" xfId="0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9" fillId="0" borderId="10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8" fillId="0" borderId="58" xfId="0" applyFont="1" applyBorder="1"/>
    <xf numFmtId="0" fontId="0" fillId="0" borderId="37" xfId="0" applyBorder="1"/>
    <xf numFmtId="0" fontId="74" fillId="0" borderId="10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/>
    </xf>
    <xf numFmtId="0" fontId="8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8" fillId="0" borderId="0" xfId="13" applyFont="1" applyAlignment="1" applyProtection="1">
      <alignment horizontal="center"/>
    </xf>
    <xf numFmtId="0" fontId="88" fillId="0" borderId="0" xfId="13" applyFont="1" applyAlignment="1" applyProtection="1">
      <alignment horizontal="left" vertical="center"/>
    </xf>
    <xf numFmtId="0" fontId="74" fillId="0" borderId="0" xfId="0" applyFont="1"/>
    <xf numFmtId="0" fontId="84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/>
    </xf>
    <xf numFmtId="0" fontId="74" fillId="0" borderId="82" xfId="0" applyFont="1" applyBorder="1" applyAlignment="1">
      <alignment horizontal="center"/>
    </xf>
    <xf numFmtId="0" fontId="74" fillId="0" borderId="0" xfId="0" applyFont="1" applyAlignment="1">
      <alignment horizontal="center" vertical="center"/>
    </xf>
    <xf numFmtId="0" fontId="65" fillId="0" borderId="0" xfId="0" applyFont="1"/>
    <xf numFmtId="0" fontId="35" fillId="0" borderId="81" xfId="0" applyFont="1" applyBorder="1" applyAlignment="1">
      <alignment horizontal="left" vertical="center"/>
    </xf>
    <xf numFmtId="0" fontId="74" fillId="0" borderId="0" xfId="0" applyFont="1" applyAlignment="1">
      <alignment vertical="center"/>
    </xf>
    <xf numFmtId="0" fontId="88" fillId="0" borderId="0" xfId="13" applyFont="1" applyAlignment="1" applyProtection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165" fontId="0" fillId="0" borderId="0" xfId="0" applyNumberFormat="1"/>
    <xf numFmtId="0" fontId="65" fillId="0" borderId="38" xfId="0" applyFont="1" applyBorder="1" applyAlignment="1">
      <alignment horizontal="center" vertical="center"/>
    </xf>
    <xf numFmtId="0" fontId="65" fillId="0" borderId="56" xfId="0" applyFont="1" applyBorder="1" applyAlignment="1">
      <alignment horizontal="center" vertical="center"/>
    </xf>
    <xf numFmtId="0" fontId="84" fillId="0" borderId="32" xfId="0" applyFont="1" applyBorder="1" applyAlignment="1">
      <alignment vertical="center"/>
    </xf>
    <xf numFmtId="0" fontId="0" fillId="0" borderId="62" xfId="0" applyBorder="1"/>
    <xf numFmtId="0" fontId="0" fillId="0" borderId="26" xfId="0" applyBorder="1"/>
    <xf numFmtId="0" fontId="65" fillId="0" borderId="19" xfId="0" applyFont="1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62" fillId="0" borderId="10" xfId="19" applyFont="1" applyBorder="1" applyAlignment="1">
      <alignment horizontal="center"/>
    </xf>
    <xf numFmtId="0" fontId="74" fillId="0" borderId="44" xfId="0" applyFont="1" applyBorder="1" applyAlignment="1">
      <alignment horizontal="center" vertical="center"/>
    </xf>
    <xf numFmtId="0" fontId="90" fillId="0" borderId="39" xfId="19" applyFont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74" fillId="0" borderId="19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2" fillId="0" borderId="0" xfId="0" applyFont="1" applyAlignment="1" applyProtection="1">
      <alignment horizontal="center" vertical="center"/>
      <protection locked="0"/>
    </xf>
    <xf numFmtId="0" fontId="87" fillId="0" borderId="0" xfId="0" applyFont="1" applyAlignment="1" applyProtection="1">
      <alignment horizontal="left" vertical="center"/>
      <protection locked="0"/>
    </xf>
    <xf numFmtId="0" fontId="0" fillId="14" borderId="0" xfId="0" applyFill="1" applyAlignment="1">
      <alignment horizontal="center" vertical="center"/>
    </xf>
    <xf numFmtId="0" fontId="0" fillId="14" borderId="0" xfId="0" applyFill="1" applyAlignment="1" applyProtection="1">
      <alignment horizontal="left" vertical="center"/>
      <protection locked="0"/>
    </xf>
    <xf numFmtId="0" fontId="0" fillId="14" borderId="0" xfId="0" applyFill="1" applyAlignment="1" applyProtection="1">
      <alignment horizontal="center" vertical="center"/>
      <protection locked="0"/>
    </xf>
    <xf numFmtId="0" fontId="55" fillId="14" borderId="0" xfId="0" applyFont="1" applyFill="1" applyAlignment="1" applyProtection="1">
      <alignment vertical="center"/>
      <protection locked="0"/>
    </xf>
    <xf numFmtId="0" fontId="79" fillId="14" borderId="0" xfId="0" applyFont="1" applyFill="1" applyAlignment="1" applyProtection="1">
      <alignment horizontal="left" vertical="center"/>
      <protection locked="0"/>
    </xf>
    <xf numFmtId="0" fontId="33" fillId="14" borderId="0" xfId="0" applyFont="1" applyFill="1" applyAlignment="1" applyProtection="1">
      <alignment vertical="center"/>
      <protection locked="0"/>
    </xf>
    <xf numFmtId="0" fontId="0" fillId="0" borderId="21" xfId="0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87" fillId="0" borderId="0" xfId="0" applyFont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vertical="center"/>
      <protection locked="0"/>
    </xf>
    <xf numFmtId="49" fontId="87" fillId="0" borderId="0" xfId="0" applyNumberFormat="1" applyFont="1" applyAlignment="1" applyProtection="1">
      <alignment horizontal="left" vertical="center"/>
      <protection locked="0"/>
    </xf>
    <xf numFmtId="0" fontId="87" fillId="0" borderId="0" xfId="0" applyFont="1" applyAlignment="1">
      <alignment horizontal="center" vertical="center"/>
    </xf>
    <xf numFmtId="0" fontId="87" fillId="0" borderId="0" xfId="0" applyFont="1" applyAlignment="1">
      <alignment vertical="center"/>
    </xf>
    <xf numFmtId="49" fontId="87" fillId="0" borderId="0" xfId="13" applyNumberFormat="1" applyFont="1" applyAlignment="1" applyProtection="1">
      <alignment vertical="center"/>
    </xf>
    <xf numFmtId="49" fontId="87" fillId="0" borderId="0" xfId="13" applyNumberFormat="1" applyFont="1" applyAlignment="1">
      <alignment horizontal="left" vertical="center"/>
      <protection locked="0"/>
    </xf>
    <xf numFmtId="0" fontId="55" fillId="0" borderId="0" xfId="0" applyFont="1" applyAlignment="1" applyProtection="1">
      <alignment horizontal="left" vertical="center"/>
      <protection locked="0"/>
    </xf>
    <xf numFmtId="0" fontId="55" fillId="0" borderId="0" xfId="0" applyFont="1" applyAlignment="1">
      <alignment vertical="center"/>
    </xf>
    <xf numFmtId="49" fontId="87" fillId="0" borderId="0" xfId="0" applyNumberFormat="1" applyFont="1" applyAlignment="1">
      <alignment vertical="center"/>
    </xf>
    <xf numFmtId="49" fontId="87" fillId="0" borderId="0" xfId="13" applyNumberFormat="1" applyFont="1" applyAlignment="1" applyProtection="1">
      <alignment horizontal="left" vertical="center"/>
    </xf>
    <xf numFmtId="49" fontId="87" fillId="0" borderId="0" xfId="13" applyNumberFormat="1" applyFont="1" applyAlignment="1">
      <alignment horizontal="left" vertical="center" wrapText="1"/>
      <protection locked="0"/>
    </xf>
    <xf numFmtId="0" fontId="87" fillId="0" borderId="0" xfId="0" applyFont="1" applyAlignment="1">
      <alignment horizontal="center" vertical="center" wrapText="1"/>
    </xf>
    <xf numFmtId="0" fontId="35" fillId="0" borderId="10" xfId="0" applyFont="1" applyBorder="1" applyAlignment="1">
      <alignment horizontal="center"/>
    </xf>
    <xf numFmtId="0" fontId="76" fillId="0" borderId="11" xfId="0" applyFont="1" applyBorder="1" applyAlignment="1">
      <alignment horizontal="center" vertical="center"/>
    </xf>
    <xf numFmtId="0" fontId="66" fillId="0" borderId="37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8" fillId="0" borderId="37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33" fillId="0" borderId="60" xfId="0" applyFont="1" applyBorder="1" applyAlignment="1">
      <alignment vertical="center"/>
    </xf>
    <xf numFmtId="0" fontId="33" fillId="0" borderId="67" xfId="0" applyFont="1" applyBorder="1" applyAlignment="1">
      <alignment vertical="center"/>
    </xf>
    <xf numFmtId="0" fontId="33" fillId="0" borderId="83" xfId="0" applyFont="1" applyBorder="1" applyAlignment="1">
      <alignment horizontal="left"/>
    </xf>
    <xf numFmtId="0" fontId="72" fillId="0" borderId="91" xfId="0" applyFont="1" applyBorder="1" applyAlignment="1">
      <alignment horizontal="center" vertical="center"/>
    </xf>
    <xf numFmtId="0" fontId="33" fillId="0" borderId="83" xfId="0" applyFont="1" applyBorder="1"/>
    <xf numFmtId="0" fontId="33" fillId="0" borderId="90" xfId="0" applyFont="1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90" xfId="0" applyBorder="1" applyAlignment="1">
      <alignment horizontal="left"/>
    </xf>
    <xf numFmtId="0" fontId="34" fillId="0" borderId="74" xfId="0" applyFont="1" applyBorder="1" applyAlignment="1">
      <alignment vertical="center"/>
    </xf>
    <xf numFmtId="0" fontId="34" fillId="0" borderId="23" xfId="0" applyFont="1" applyBorder="1" applyAlignment="1">
      <alignment vertical="center"/>
    </xf>
    <xf numFmtId="0" fontId="34" fillId="0" borderId="75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70" xfId="0" applyFont="1" applyBorder="1" applyAlignment="1">
      <alignment vertical="center"/>
    </xf>
    <xf numFmtId="0" fontId="34" fillId="0" borderId="71" xfId="0" applyFont="1" applyBorder="1" applyAlignment="1">
      <alignment vertical="center"/>
    </xf>
    <xf numFmtId="0" fontId="0" fillId="0" borderId="71" xfId="0" applyBorder="1" applyAlignment="1">
      <alignment horizontal="center" vertical="center"/>
    </xf>
    <xf numFmtId="0" fontId="34" fillId="0" borderId="63" xfId="0" applyFont="1" applyBorder="1" applyAlignment="1">
      <alignment vertical="center"/>
    </xf>
    <xf numFmtId="0" fontId="34" fillId="0" borderId="73" xfId="0" applyFont="1" applyBorder="1" applyAlignment="1">
      <alignment vertical="center"/>
    </xf>
    <xf numFmtId="0" fontId="94" fillId="0" borderId="43" xfId="0" applyFont="1" applyBorder="1" applyAlignment="1">
      <alignment horizontal="center" vertical="center" shrinkToFit="1"/>
    </xf>
    <xf numFmtId="0" fontId="94" fillId="0" borderId="44" xfId="0" applyFont="1" applyBorder="1" applyAlignment="1">
      <alignment horizontal="center" vertical="center" shrinkToFit="1"/>
    </xf>
    <xf numFmtId="0" fontId="94" fillId="0" borderId="40" xfId="0" applyFont="1" applyBorder="1" applyAlignment="1">
      <alignment horizontal="center" vertical="center" shrinkToFit="1"/>
    </xf>
    <xf numFmtId="0" fontId="94" fillId="0" borderId="18" xfId="0" applyFont="1" applyBorder="1" applyAlignment="1">
      <alignment horizontal="center" vertical="center" shrinkToFit="1"/>
    </xf>
    <xf numFmtId="0" fontId="94" fillId="0" borderId="54" xfId="0" applyFont="1" applyBorder="1" applyAlignment="1">
      <alignment horizontal="center" vertical="center" shrinkToFit="1"/>
    </xf>
    <xf numFmtId="0" fontId="94" fillId="0" borderId="19" xfId="0" applyFont="1" applyBorder="1" applyAlignment="1">
      <alignment horizontal="center" vertical="center" shrinkToFit="1"/>
    </xf>
    <xf numFmtId="0" fontId="94" fillId="0" borderId="0" xfId="0" applyFont="1" applyAlignment="1">
      <alignment horizontal="center" vertical="center" shrinkToFit="1"/>
    </xf>
    <xf numFmtId="2" fontId="0" fillId="0" borderId="0" xfId="0" applyNumberFormat="1"/>
    <xf numFmtId="0" fontId="74" fillId="0" borderId="92" xfId="0" applyFont="1" applyBorder="1"/>
    <xf numFmtId="0" fontId="74" fillId="0" borderId="92" xfId="0" applyFont="1" applyBorder="1" applyAlignment="1">
      <alignment horizontal="right" vertical="center"/>
    </xf>
    <xf numFmtId="0" fontId="35" fillId="0" borderId="92" xfId="0" applyFont="1" applyBorder="1" applyAlignment="1">
      <alignment horizontal="center" vertical="center"/>
    </xf>
    <xf numFmtId="0" fontId="74" fillId="0" borderId="92" xfId="0" applyFont="1" applyBorder="1" applyAlignment="1">
      <alignment horizontal="center" vertical="center"/>
    </xf>
    <xf numFmtId="0" fontId="96" fillId="0" borderId="94" xfId="0" applyFont="1" applyBorder="1" applyAlignment="1">
      <alignment vertical="center"/>
    </xf>
    <xf numFmtId="0" fontId="96" fillId="0" borderId="0" xfId="0" applyFont="1" applyAlignment="1">
      <alignment horizontal="center" vertical="center"/>
    </xf>
    <xf numFmtId="0" fontId="96" fillId="0" borderId="94" xfId="0" applyFont="1" applyBorder="1" applyAlignment="1">
      <alignment horizontal="center" vertical="center"/>
    </xf>
    <xf numFmtId="0" fontId="84" fillId="0" borderId="0" xfId="0" applyFont="1" applyAlignment="1">
      <alignment horizontal="center"/>
    </xf>
    <xf numFmtId="20" fontId="35" fillId="0" borderId="92" xfId="0" applyNumberFormat="1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78" fillId="0" borderId="71" xfId="0" applyFont="1" applyBorder="1" applyAlignment="1">
      <alignment horizontal="center"/>
    </xf>
    <xf numFmtId="0" fontId="52" fillId="0" borderId="44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55" fillId="0" borderId="94" xfId="0" applyFont="1" applyBorder="1" applyAlignment="1">
      <alignment vertical="center"/>
    </xf>
    <xf numFmtId="168" fontId="74" fillId="0" borderId="94" xfId="0" applyNumberFormat="1" applyFont="1" applyBorder="1" applyAlignment="1">
      <alignment horizontal="center" vertical="center"/>
    </xf>
    <xf numFmtId="168" fontId="74" fillId="0" borderId="92" xfId="0" applyNumberFormat="1" applyFont="1" applyBorder="1" applyAlignment="1">
      <alignment horizontal="left" vertical="center"/>
    </xf>
    <xf numFmtId="0" fontId="67" fillId="0" borderId="92" xfId="0" applyFont="1" applyBorder="1" applyAlignment="1">
      <alignment horizontal="left" vertical="center" wrapText="1"/>
    </xf>
    <xf numFmtId="171" fontId="96" fillId="0" borderId="92" xfId="0" applyNumberFormat="1" applyFont="1" applyBorder="1" applyAlignment="1">
      <alignment horizontal="center" vertical="center"/>
    </xf>
    <xf numFmtId="171" fontId="96" fillId="0" borderId="94" xfId="0" applyNumberFormat="1" applyFont="1" applyBorder="1" applyAlignment="1">
      <alignment horizontal="center" vertical="center"/>
    </xf>
    <xf numFmtId="171" fontId="52" fillId="0" borderId="94" xfId="0" applyNumberFormat="1" applyFont="1" applyBorder="1" applyAlignment="1">
      <alignment horizontal="center" vertical="center"/>
    </xf>
    <xf numFmtId="0" fontId="52" fillId="0" borderId="0" xfId="0" applyFont="1" applyAlignment="1" applyProtection="1">
      <alignment horizontal="left"/>
      <protection locked="0"/>
    </xf>
    <xf numFmtId="0" fontId="52" fillId="0" borderId="0" xfId="0" applyFont="1" applyAlignment="1" applyProtection="1">
      <alignment horizontal="center"/>
      <protection locked="0"/>
    </xf>
    <xf numFmtId="0" fontId="74" fillId="0" borderId="92" xfId="0" applyFont="1" applyBorder="1" applyAlignment="1">
      <alignment vertical="center"/>
    </xf>
    <xf numFmtId="0" fontId="74" fillId="0" borderId="0" xfId="0" applyFont="1" applyAlignment="1">
      <alignment horizontal="left"/>
    </xf>
    <xf numFmtId="2" fontId="35" fillId="0" borderId="0" xfId="0" applyNumberFormat="1" applyFont="1" applyAlignment="1">
      <alignment vertical="center"/>
    </xf>
    <xf numFmtId="2" fontId="96" fillId="0" borderId="92" xfId="0" applyNumberFormat="1" applyFont="1" applyBorder="1" applyAlignment="1">
      <alignment vertical="center"/>
    </xf>
    <xf numFmtId="2" fontId="96" fillId="0" borderId="94" xfId="0" applyNumberFormat="1" applyFont="1" applyBorder="1" applyAlignment="1">
      <alignment vertical="center"/>
    </xf>
    <xf numFmtId="170" fontId="84" fillId="0" borderId="92" xfId="0" quotePrefix="1" applyNumberFormat="1" applyFont="1" applyBorder="1" applyAlignment="1">
      <alignment horizontal="center" vertical="center"/>
    </xf>
    <xf numFmtId="170" fontId="84" fillId="0" borderId="92" xfId="0" applyNumberFormat="1" applyFont="1" applyBorder="1" applyAlignment="1">
      <alignment horizontal="center" vertical="center"/>
    </xf>
    <xf numFmtId="170" fontId="84" fillId="0" borderId="94" xfId="0" applyNumberFormat="1" applyFont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94" xfId="0" applyNumberFormat="1" applyFont="1" applyBorder="1" applyAlignment="1">
      <alignment horizontal="center" vertical="center"/>
    </xf>
    <xf numFmtId="0" fontId="89" fillId="0" borderId="92" xfId="0" applyFont="1" applyBorder="1" applyAlignment="1">
      <alignment horizontal="left" vertical="center"/>
    </xf>
    <xf numFmtId="0" fontId="74" fillId="0" borderId="92" xfId="0" applyFont="1" applyBorder="1" applyAlignment="1">
      <alignment horizontal="left" vertical="center"/>
    </xf>
    <xf numFmtId="0" fontId="43" fillId="0" borderId="92" xfId="13" applyBorder="1" applyAlignment="1" applyProtection="1">
      <alignment horizontal="left" vertical="center"/>
    </xf>
    <xf numFmtId="0" fontId="89" fillId="0" borderId="92" xfId="0" applyFont="1" applyBorder="1" applyAlignment="1">
      <alignment horizontal="center" vertical="center"/>
    </xf>
    <xf numFmtId="0" fontId="65" fillId="0" borderId="106" xfId="0" applyFont="1" applyBorder="1" applyAlignment="1">
      <alignment horizontal="left" vertical="center"/>
    </xf>
    <xf numFmtId="0" fontId="0" fillId="0" borderId="106" xfId="0" applyBorder="1" applyAlignment="1">
      <alignment vertical="center"/>
    </xf>
    <xf numFmtId="0" fontId="0" fillId="0" borderId="106" xfId="0" applyBorder="1" applyAlignment="1">
      <alignment horizontal="center" vertical="center"/>
    </xf>
    <xf numFmtId="14" fontId="0" fillId="0" borderId="44" xfId="0" applyNumberFormat="1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67" fillId="0" borderId="102" xfId="0" applyFont="1" applyBorder="1" applyAlignment="1">
      <alignment horizontal="center" vertical="center"/>
    </xf>
    <xf numFmtId="0" fontId="67" fillId="0" borderId="92" xfId="0" applyFont="1" applyBorder="1" applyAlignment="1">
      <alignment horizontal="center" vertical="center"/>
    </xf>
    <xf numFmtId="0" fontId="67" fillId="0" borderId="107" xfId="0" applyFont="1" applyBorder="1" applyAlignment="1">
      <alignment horizontal="left" vertical="center"/>
    </xf>
    <xf numFmtId="171" fontId="74" fillId="0" borderId="107" xfId="0" applyNumberFormat="1" applyFont="1" applyBorder="1" applyAlignment="1">
      <alignment horizontal="center" vertical="center"/>
    </xf>
    <xf numFmtId="171" fontId="96" fillId="0" borderId="107" xfId="0" applyNumberFormat="1" applyFont="1" applyBorder="1" applyAlignment="1">
      <alignment horizontal="center" vertical="center"/>
    </xf>
    <xf numFmtId="0" fontId="43" fillId="0" borderId="0" xfId="13" applyAlignment="1" applyProtection="1">
      <alignment horizontal="left" vertical="center"/>
    </xf>
    <xf numFmtId="0" fontId="55" fillId="0" borderId="58" xfId="0" applyFont="1" applyBorder="1" applyAlignment="1">
      <alignment horizontal="left" vertical="center"/>
    </xf>
    <xf numFmtId="0" fontId="55" fillId="0" borderId="32" xfId="0" applyFont="1" applyBorder="1" applyAlignment="1">
      <alignment horizontal="left" vertical="center"/>
    </xf>
    <xf numFmtId="0" fontId="74" fillId="0" borderId="58" xfId="0" applyFont="1" applyBorder="1" applyAlignment="1">
      <alignment horizontal="left" vertical="center"/>
    </xf>
    <xf numFmtId="0" fontId="74" fillId="0" borderId="32" xfId="0" applyFont="1" applyBorder="1" applyAlignment="1">
      <alignment horizontal="left" vertical="center"/>
    </xf>
    <xf numFmtId="0" fontId="74" fillId="0" borderId="32" xfId="0" applyFont="1" applyBorder="1" applyAlignment="1">
      <alignment horizontal="center"/>
    </xf>
    <xf numFmtId="0" fontId="35" fillId="0" borderId="58" xfId="0" applyFont="1" applyBorder="1"/>
    <xf numFmtId="0" fontId="74" fillId="0" borderId="32" xfId="0" applyFont="1" applyBorder="1"/>
    <xf numFmtId="0" fontId="35" fillId="0" borderId="58" xfId="0" applyFont="1" applyBorder="1" applyAlignment="1">
      <alignment horizontal="left"/>
    </xf>
    <xf numFmtId="0" fontId="35" fillId="0" borderId="58" xfId="0" applyFont="1" applyBorder="1" applyAlignment="1">
      <alignment vertical="center"/>
    </xf>
    <xf numFmtId="0" fontId="32" fillId="0" borderId="92" xfId="0" applyFont="1" applyBorder="1" applyAlignment="1">
      <alignment horizontal="left" vertical="center"/>
    </xf>
    <xf numFmtId="0" fontId="32" fillId="0" borderId="92" xfId="0" applyFont="1" applyBorder="1" applyAlignment="1">
      <alignment horizontal="center" vertical="center"/>
    </xf>
    <xf numFmtId="171" fontId="74" fillId="0" borderId="92" xfId="0" applyNumberFormat="1" applyFont="1" applyBorder="1" applyAlignment="1">
      <alignment horizontal="center" vertical="center"/>
    </xf>
    <xf numFmtId="173" fontId="35" fillId="0" borderId="106" xfId="0" applyNumberFormat="1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84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5" fillId="0" borderId="0" xfId="0" applyFont="1" applyAlignment="1">
      <alignment vertical="center"/>
    </xf>
    <xf numFmtId="173" fontId="103" fillId="0" borderId="0" xfId="0" applyNumberFormat="1" applyFont="1" applyAlignment="1">
      <alignment horizontal="center" vertical="center"/>
    </xf>
    <xf numFmtId="173" fontId="74" fillId="0" borderId="0" xfId="0" applyNumberFormat="1" applyFont="1" applyAlignment="1">
      <alignment horizontal="center" vertical="center"/>
    </xf>
    <xf numFmtId="173" fontId="103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6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58" xfId="0" applyFont="1" applyBorder="1" applyAlignment="1">
      <alignment vertical="center"/>
    </xf>
    <xf numFmtId="0" fontId="33" fillId="0" borderId="62" xfId="0" applyFont="1" applyBorder="1" applyAlignment="1">
      <alignment vertical="center"/>
    </xf>
    <xf numFmtId="0" fontId="105" fillId="0" borderId="0" xfId="0" applyFont="1" applyAlignment="1">
      <alignment horizontal="center" vertical="center"/>
    </xf>
    <xf numFmtId="0" fontId="33" fillId="0" borderId="21" xfId="0" applyFont="1" applyBorder="1" applyAlignment="1">
      <alignment vertical="center"/>
    </xf>
    <xf numFmtId="174" fontId="34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vertical="center"/>
    </xf>
    <xf numFmtId="0" fontId="69" fillId="0" borderId="0" xfId="0" applyFont="1" applyAlignment="1">
      <alignment horizontal="center" vertical="center"/>
    </xf>
    <xf numFmtId="0" fontId="33" fillId="0" borderId="32" xfId="0" applyFont="1" applyBorder="1" applyAlignment="1">
      <alignment vertical="center"/>
    </xf>
    <xf numFmtId="0" fontId="33" fillId="0" borderId="0" xfId="0" applyFont="1" applyAlignment="1">
      <alignment horizontal="left" indent="1"/>
    </xf>
    <xf numFmtId="0" fontId="108" fillId="0" borderId="0" xfId="0" applyFont="1" applyAlignment="1">
      <alignment horizontal="center" vertical="center"/>
    </xf>
    <xf numFmtId="1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94" fillId="0" borderId="102" xfId="0" applyFont="1" applyBorder="1" applyAlignment="1">
      <alignment horizontal="left" vertical="center"/>
    </xf>
    <xf numFmtId="0" fontId="0" fillId="0" borderId="102" xfId="0" applyBorder="1" applyAlignment="1">
      <alignment horizontal="left" vertical="center"/>
    </xf>
    <xf numFmtId="0" fontId="104" fillId="0" borderId="0" xfId="0" applyFont="1" applyAlignment="1">
      <alignment horizontal="center" vertical="center"/>
    </xf>
    <xf numFmtId="173" fontId="83" fillId="0" borderId="0" xfId="0" applyNumberFormat="1" applyFont="1" applyAlignment="1">
      <alignment horizontal="center" vertical="center"/>
    </xf>
    <xf numFmtId="175" fontId="83" fillId="0" borderId="0" xfId="0" applyNumberFormat="1" applyFont="1" applyAlignment="1">
      <alignment horizontal="center" vertical="center"/>
    </xf>
    <xf numFmtId="173" fontId="61" fillId="0" borderId="0" xfId="0" applyNumberFormat="1" applyFont="1" applyAlignment="1">
      <alignment horizontal="center" vertical="center"/>
    </xf>
    <xf numFmtId="0" fontId="35" fillId="16" borderId="0" xfId="0" applyFont="1" applyFill="1"/>
    <xf numFmtId="173" fontId="35" fillId="0" borderId="116" xfId="0" applyNumberFormat="1" applyFont="1" applyBorder="1" applyAlignment="1">
      <alignment horizontal="center" vertical="center"/>
    </xf>
    <xf numFmtId="0" fontId="55" fillId="0" borderId="102" xfId="0" applyFont="1" applyBorder="1" applyAlignment="1">
      <alignment horizontal="left" vertical="center"/>
    </xf>
    <xf numFmtId="0" fontId="84" fillId="0" borderId="57" xfId="0" applyFont="1" applyBorder="1" applyAlignment="1">
      <alignment horizontal="left" wrapText="1"/>
    </xf>
    <xf numFmtId="0" fontId="84" fillId="0" borderId="37" xfId="0" applyFont="1" applyBorder="1" applyAlignment="1">
      <alignment horizontal="left" wrapText="1"/>
    </xf>
    <xf numFmtId="1" fontId="52" fillId="0" borderId="37" xfId="0" applyNumberFormat="1" applyFont="1" applyBorder="1" applyAlignment="1">
      <alignment horizontal="center" vertical="center" wrapText="1"/>
    </xf>
    <xf numFmtId="0" fontId="84" fillId="0" borderId="30" xfId="0" applyFont="1" applyBorder="1" applyAlignment="1">
      <alignment horizontal="left" wrapText="1"/>
    </xf>
    <xf numFmtId="0" fontId="59" fillId="1" borderId="71" xfId="0" applyFont="1" applyFill="1" applyBorder="1" applyAlignment="1">
      <alignment horizontal="left" vertical="center"/>
    </xf>
    <xf numFmtId="0" fontId="101" fillId="0" borderId="0" xfId="0" applyFont="1" applyAlignment="1">
      <alignment horizontal="center" vertical="center"/>
    </xf>
    <xf numFmtId="0" fontId="52" fillId="0" borderId="111" xfId="0" applyFont="1" applyBorder="1" applyAlignment="1">
      <alignment horizontal="center"/>
    </xf>
    <xf numFmtId="0" fontId="84" fillId="0" borderId="96" xfId="0" applyFont="1" applyBorder="1" applyAlignment="1">
      <alignment horizontal="center"/>
    </xf>
    <xf numFmtId="0" fontId="52" fillId="0" borderId="96" xfId="0" applyFont="1" applyBorder="1" applyAlignment="1">
      <alignment horizontal="center" vertical="center"/>
    </xf>
    <xf numFmtId="0" fontId="52" fillId="0" borderId="96" xfId="0" applyFont="1" applyBorder="1" applyAlignment="1">
      <alignment horizontal="center"/>
    </xf>
    <xf numFmtId="0" fontId="84" fillId="0" borderId="112" xfId="0" applyFont="1" applyBorder="1" applyAlignment="1">
      <alignment horizontal="center"/>
    </xf>
    <xf numFmtId="0" fontId="84" fillId="0" borderId="58" xfId="0" applyFont="1" applyBorder="1" applyAlignment="1">
      <alignment horizontal="center"/>
    </xf>
    <xf numFmtId="0" fontId="84" fillId="0" borderId="32" xfId="0" applyFont="1" applyBorder="1" applyAlignment="1">
      <alignment horizontal="center"/>
    </xf>
    <xf numFmtId="0" fontId="89" fillId="0" borderId="92" xfId="0" applyFont="1" applyBorder="1" applyAlignment="1">
      <alignment horizontal="left"/>
    </xf>
    <xf numFmtId="0" fontId="100" fillId="0" borderId="0" xfId="0" applyFont="1" applyAlignment="1">
      <alignment horizontal="center" vertical="center"/>
    </xf>
    <xf numFmtId="0" fontId="67" fillId="0" borderId="104" xfId="0" applyFont="1" applyBorder="1" applyAlignment="1">
      <alignment horizontal="left" vertical="center"/>
    </xf>
    <xf numFmtId="0" fontId="67" fillId="0" borderId="103" xfId="0" applyFont="1" applyBorder="1" applyAlignment="1">
      <alignment horizontal="left" vertical="center"/>
    </xf>
    <xf numFmtId="0" fontId="67" fillId="0" borderId="92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5" fillId="0" borderId="12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5" xfId="0" applyBorder="1" applyAlignment="1">
      <alignment vertical="center"/>
    </xf>
    <xf numFmtId="0" fontId="0" fillId="0" borderId="99" xfId="0" applyBorder="1" applyAlignment="1">
      <alignment vertical="center"/>
    </xf>
    <xf numFmtId="0" fontId="94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0" xfId="0" applyBorder="1" applyAlignment="1">
      <alignment vertical="center"/>
    </xf>
    <xf numFmtId="0" fontId="0" fillId="16" borderId="0" xfId="0" applyFill="1" applyAlignment="1">
      <alignment vertical="center"/>
    </xf>
    <xf numFmtId="0" fontId="0" fillId="20" borderId="0" xfId="0" applyFill="1" applyAlignment="1">
      <alignment vertical="center"/>
    </xf>
    <xf numFmtId="0" fontId="0" fillId="19" borderId="0" xfId="0" applyFill="1" applyAlignment="1">
      <alignment vertical="center"/>
    </xf>
    <xf numFmtId="173" fontId="103" fillId="0" borderId="0" xfId="0" quotePrefix="1" applyNumberFormat="1" applyFont="1" applyAlignment="1">
      <alignment horizontal="right" vertical="center"/>
    </xf>
    <xf numFmtId="0" fontId="0" fillId="0" borderId="37" xfId="0" applyBorder="1" applyAlignment="1">
      <alignment vertical="center"/>
    </xf>
    <xf numFmtId="0" fontId="35" fillId="0" borderId="138" xfId="0" applyFont="1" applyBorder="1" applyAlignment="1">
      <alignment horizontal="center" vertical="center"/>
    </xf>
    <xf numFmtId="0" fontId="34" fillId="0" borderId="130" xfId="0" applyFont="1" applyBorder="1" applyAlignment="1">
      <alignment vertical="center"/>
    </xf>
    <xf numFmtId="0" fontId="55" fillId="0" borderId="104" xfId="0" applyFont="1" applyBorder="1" applyAlignment="1">
      <alignment horizontal="left" vertical="center"/>
    </xf>
    <xf numFmtId="0" fontId="56" fillId="0" borderId="109" xfId="0" applyFont="1" applyBorder="1" applyAlignment="1">
      <alignment horizontal="left" vertical="center"/>
    </xf>
    <xf numFmtId="0" fontId="56" fillId="0" borderId="102" xfId="0" applyFont="1" applyBorder="1" applyAlignment="1">
      <alignment horizontal="left" vertical="center"/>
    </xf>
    <xf numFmtId="0" fontId="56" fillId="0" borderId="110" xfId="0" applyFont="1" applyBorder="1" applyAlignment="1">
      <alignment horizontal="left" vertical="center"/>
    </xf>
    <xf numFmtId="0" fontId="65" fillId="0" borderId="102" xfId="0" applyFont="1" applyBorder="1" applyAlignment="1">
      <alignment horizontal="center" vertical="center"/>
    </xf>
    <xf numFmtId="0" fontId="65" fillId="0" borderId="139" xfId="0" applyFont="1" applyBorder="1" applyAlignment="1">
      <alignment horizontal="center" vertical="center"/>
    </xf>
    <xf numFmtId="0" fontId="65" fillId="0" borderId="143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74" fillId="0" borderId="0" xfId="19" applyFont="1" applyAlignment="1">
      <alignment horizontal="center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center" vertical="center"/>
    </xf>
    <xf numFmtId="0" fontId="112" fillId="0" borderId="0" xfId="0" applyFont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90" fillId="0" borderId="0" xfId="19" applyFont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90" fillId="0" borderId="140" xfId="19" applyFont="1" applyBorder="1" applyAlignment="1">
      <alignment horizontal="center" vertical="center"/>
    </xf>
    <xf numFmtId="0" fontId="74" fillId="0" borderId="138" xfId="0" applyFont="1" applyBorder="1" applyAlignment="1">
      <alignment horizontal="center" vertical="center"/>
    </xf>
    <xf numFmtId="0" fontId="31" fillId="0" borderId="138" xfId="0" applyFont="1" applyBorder="1" applyAlignment="1">
      <alignment horizontal="center" vertical="center"/>
    </xf>
    <xf numFmtId="0" fontId="35" fillId="0" borderId="103" xfId="0" applyFont="1" applyBorder="1" applyAlignment="1">
      <alignment horizontal="center" vertical="center"/>
    </xf>
    <xf numFmtId="0" fontId="43" fillId="0" borderId="138" xfId="13" applyBorder="1" applyAlignment="1" applyProtection="1">
      <alignment horizontal="left" vertical="center"/>
    </xf>
    <xf numFmtId="0" fontId="74" fillId="0" borderId="138" xfId="0" applyFont="1" applyBorder="1" applyAlignment="1">
      <alignment horizontal="left" vertical="center"/>
    </xf>
    <xf numFmtId="0" fontId="31" fillId="0" borderId="138" xfId="0" applyFont="1" applyBorder="1" applyAlignment="1">
      <alignment horizontal="left" vertical="center"/>
    </xf>
    <xf numFmtId="0" fontId="117" fillId="0" borderId="138" xfId="0" applyFont="1" applyBorder="1" applyAlignment="1">
      <alignment horizontal="left" vertical="center"/>
    </xf>
    <xf numFmtId="0" fontId="117" fillId="0" borderId="138" xfId="0" applyFont="1" applyBorder="1" applyAlignment="1">
      <alignment horizontal="center" vertical="center"/>
    </xf>
    <xf numFmtId="0" fontId="103" fillId="0" borderId="138" xfId="0" applyFont="1" applyBorder="1" applyAlignment="1">
      <alignment horizontal="left" vertical="center"/>
    </xf>
    <xf numFmtId="0" fontId="92" fillId="0" borderId="140" xfId="0" applyFont="1" applyBorder="1" applyAlignment="1">
      <alignment horizontal="center" vertical="center"/>
    </xf>
    <xf numFmtId="0" fontId="74" fillId="19" borderId="138" xfId="0" applyFont="1" applyFill="1" applyBorder="1" applyAlignment="1">
      <alignment horizontal="left" vertical="center"/>
    </xf>
    <xf numFmtId="0" fontId="91" fillId="0" borderId="140" xfId="19" applyFont="1" applyBorder="1" applyAlignment="1">
      <alignment horizontal="center" vertical="center"/>
    </xf>
    <xf numFmtId="0" fontId="74" fillId="0" borderId="138" xfId="19" applyFont="1" applyBorder="1" applyAlignment="1">
      <alignment horizontal="left" vertical="center"/>
    </xf>
    <xf numFmtId="0" fontId="35" fillId="0" borderId="44" xfId="0" applyFont="1" applyBorder="1" applyAlignment="1">
      <alignment horizontal="center" vertical="center"/>
    </xf>
    <xf numFmtId="0" fontId="35" fillId="0" borderId="99" xfId="0" applyFont="1" applyBorder="1" applyAlignment="1">
      <alignment horizontal="center" vertical="center"/>
    </xf>
    <xf numFmtId="0" fontId="30" fillId="0" borderId="138" xfId="0" applyFont="1" applyBorder="1" applyAlignment="1">
      <alignment horizontal="left" vertical="center"/>
    </xf>
    <xf numFmtId="0" fontId="29" fillId="0" borderId="138" xfId="0" applyFont="1" applyBorder="1" applyAlignment="1">
      <alignment horizontal="left" vertical="center"/>
    </xf>
    <xf numFmtId="0" fontId="43" fillId="0" borderId="0" xfId="13" applyBorder="1" applyAlignment="1" applyProtection="1">
      <alignment horizontal="left" vertical="center"/>
    </xf>
    <xf numFmtId="0" fontId="27" fillId="0" borderId="138" xfId="0" applyFont="1" applyBorder="1" applyAlignment="1">
      <alignment horizontal="left" vertical="center"/>
    </xf>
    <xf numFmtId="0" fontId="26" fillId="0" borderId="138" xfId="0" applyFont="1" applyBorder="1" applyAlignment="1">
      <alignment horizontal="left" vertical="center"/>
    </xf>
    <xf numFmtId="0" fontId="25" fillId="0" borderId="138" xfId="0" applyFont="1" applyBorder="1" applyAlignment="1">
      <alignment horizontal="left" vertical="center"/>
    </xf>
    <xf numFmtId="0" fontId="34" fillId="0" borderId="138" xfId="0" applyFont="1" applyBorder="1" applyAlignment="1">
      <alignment vertical="center"/>
    </xf>
    <xf numFmtId="0" fontId="34" fillId="0" borderId="138" xfId="0" applyFont="1" applyBorder="1" applyAlignment="1">
      <alignment horizontal="center" vertical="center"/>
    </xf>
    <xf numFmtId="0" fontId="34" fillId="0" borderId="138" xfId="19" applyFont="1" applyBorder="1" applyAlignment="1">
      <alignment vertical="center"/>
    </xf>
    <xf numFmtId="0" fontId="74" fillId="0" borderId="137" xfId="0" applyFont="1" applyBorder="1" applyAlignment="1">
      <alignment horizontal="center" vertical="center"/>
    </xf>
    <xf numFmtId="0" fontId="86" fillId="0" borderId="138" xfId="0" applyFont="1" applyBorder="1" applyAlignment="1">
      <alignment horizontal="center" vertical="center"/>
    </xf>
    <xf numFmtId="0" fontId="28" fillId="0" borderId="138" xfId="0" applyFont="1" applyBorder="1" applyAlignment="1">
      <alignment vertical="center"/>
    </xf>
    <xf numFmtId="0" fontId="31" fillId="0" borderId="138" xfId="0" applyFont="1" applyBorder="1" applyAlignment="1">
      <alignment vertical="center"/>
    </xf>
    <xf numFmtId="0" fontId="74" fillId="0" borderId="138" xfId="0" applyFont="1" applyBorder="1" applyAlignment="1">
      <alignment horizontal="right" vertical="center"/>
    </xf>
    <xf numFmtId="0" fontId="43" fillId="0" borderId="138" xfId="13" applyBorder="1" applyAlignment="1" applyProtection="1">
      <alignment vertical="center"/>
    </xf>
    <xf numFmtId="0" fontId="74" fillId="0" borderId="138" xfId="0" applyFont="1" applyBorder="1" applyAlignment="1">
      <alignment vertical="center"/>
    </xf>
    <xf numFmtId="0" fontId="110" fillId="0" borderId="138" xfId="13" applyFont="1" applyBorder="1" applyAlignment="1" applyProtection="1">
      <alignment vertical="center"/>
    </xf>
    <xf numFmtId="0" fontId="86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74" fillId="0" borderId="0" xfId="0" applyFont="1" applyAlignment="1">
      <alignment horizontal="right" vertical="center"/>
    </xf>
    <xf numFmtId="0" fontId="74" fillId="0" borderId="0" xfId="19" applyFont="1" applyAlignment="1">
      <alignment vertical="center"/>
    </xf>
    <xf numFmtId="0" fontId="118" fillId="0" borderId="0" xfId="0" applyFont="1" applyAlignment="1">
      <alignment horizontal="center" vertical="center"/>
    </xf>
    <xf numFmtId="0" fontId="74" fillId="0" borderId="0" xfId="19" applyFont="1" applyAlignment="1">
      <alignment horizontal="right" vertical="center"/>
    </xf>
    <xf numFmtId="0" fontId="86" fillId="0" borderId="139" xfId="0" applyFont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110" fillId="0" borderId="0" xfId="13" applyFont="1" applyAlignment="1" applyProtection="1">
      <alignment vertical="center"/>
    </xf>
    <xf numFmtId="0" fontId="116" fillId="0" borderId="0" xfId="0" applyFont="1" applyAlignment="1">
      <alignment horizontal="left" vertical="center"/>
    </xf>
    <xf numFmtId="0" fontId="115" fillId="0" borderId="0" xfId="0" applyFont="1" applyAlignment="1">
      <alignment vertical="center"/>
    </xf>
    <xf numFmtId="0" fontId="115" fillId="0" borderId="0" xfId="0" applyFont="1" applyAlignment="1">
      <alignment horizontal="right" vertical="center"/>
    </xf>
    <xf numFmtId="0" fontId="114" fillId="0" borderId="0" xfId="13" applyFont="1" applyAlignment="1" applyProtection="1">
      <alignment vertical="center"/>
    </xf>
    <xf numFmtId="0" fontId="111" fillId="0" borderId="0" xfId="13" applyFont="1" applyAlignment="1" applyProtection="1">
      <alignment vertical="center"/>
    </xf>
    <xf numFmtId="0" fontId="116" fillId="0" borderId="0" xfId="0" applyFont="1" applyAlignment="1">
      <alignment vertical="center"/>
    </xf>
    <xf numFmtId="0" fontId="43" fillId="0" borderId="0" xfId="13" applyAlignment="1" applyProtection="1">
      <alignment vertical="center"/>
    </xf>
    <xf numFmtId="0" fontId="23" fillId="0" borderId="138" xfId="0" applyFont="1" applyBorder="1" applyAlignment="1">
      <alignment horizontal="left" vertical="center"/>
    </xf>
    <xf numFmtId="0" fontId="22" fillId="0" borderId="138" xfId="0" applyFont="1" applyBorder="1" applyAlignment="1">
      <alignment horizontal="left" vertical="center"/>
    </xf>
    <xf numFmtId="0" fontId="61" fillId="0" borderId="85" xfId="0" applyFont="1" applyBorder="1" applyAlignment="1">
      <alignment horizontal="left" vertical="center"/>
    </xf>
    <xf numFmtId="0" fontId="61" fillId="0" borderId="144" xfId="0" applyFont="1" applyBorder="1" applyAlignment="1">
      <alignment horizontal="left" vertical="center"/>
    </xf>
    <xf numFmtId="0" fontId="21" fillId="0" borderId="138" xfId="0" applyFont="1" applyBorder="1" applyAlignment="1">
      <alignment horizontal="left" vertical="center"/>
    </xf>
    <xf numFmtId="0" fontId="61" fillId="0" borderId="85" xfId="0" applyFont="1" applyBorder="1" applyAlignment="1">
      <alignment horizontal="center" vertical="center"/>
    </xf>
    <xf numFmtId="0" fontId="0" fillId="0" borderId="83" xfId="0" applyBorder="1" applyAlignment="1">
      <alignment horizontal="left" vertical="center"/>
    </xf>
    <xf numFmtId="0" fontId="20" fillId="0" borderId="138" xfId="0" applyFont="1" applyBorder="1" applyAlignment="1">
      <alignment horizontal="left" vertical="center"/>
    </xf>
    <xf numFmtId="0" fontId="74" fillId="0" borderId="57" xfId="0" applyFont="1" applyBorder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74" fillId="0" borderId="129" xfId="0" applyFont="1" applyBorder="1" applyAlignment="1">
      <alignment horizontal="center" vertical="center"/>
    </xf>
    <xf numFmtId="170" fontId="84" fillId="0" borderId="138" xfId="0" quotePrefix="1" applyNumberFormat="1" applyFont="1" applyBorder="1" applyAlignment="1">
      <alignment horizontal="center" vertical="center"/>
    </xf>
    <xf numFmtId="171" fontId="74" fillId="0" borderId="138" xfId="0" applyNumberFormat="1" applyFont="1" applyBorder="1" applyAlignment="1">
      <alignment horizontal="center" vertical="center"/>
    </xf>
    <xf numFmtId="168" fontId="74" fillId="0" borderId="138" xfId="0" applyNumberFormat="1" applyFont="1" applyBorder="1" applyAlignment="1">
      <alignment horizontal="left" vertical="center"/>
    </xf>
    <xf numFmtId="20" fontId="35" fillId="0" borderId="138" xfId="0" applyNumberFormat="1" applyFont="1" applyBorder="1" applyAlignment="1">
      <alignment horizontal="center" vertical="center"/>
    </xf>
    <xf numFmtId="1" fontId="74" fillId="0" borderId="138" xfId="0" applyNumberFormat="1" applyFont="1" applyBorder="1" applyAlignment="1">
      <alignment horizontal="center" vertical="center"/>
    </xf>
    <xf numFmtId="171" fontId="96" fillId="0" borderId="138" xfId="0" applyNumberFormat="1" applyFont="1" applyBorder="1" applyAlignment="1">
      <alignment horizontal="center" vertical="center"/>
    </xf>
    <xf numFmtId="2" fontId="96" fillId="0" borderId="138" xfId="0" applyNumberFormat="1" applyFont="1" applyBorder="1" applyAlignment="1">
      <alignment vertical="center"/>
    </xf>
    <xf numFmtId="0" fontId="76" fillId="0" borderId="0" xfId="0" applyFont="1" applyAlignment="1">
      <alignment horizontal="left" vertical="center"/>
    </xf>
    <xf numFmtId="0" fontId="67" fillId="0" borderId="138" xfId="0" applyFont="1" applyBorder="1" applyAlignment="1">
      <alignment horizontal="left" vertical="center"/>
    </xf>
    <xf numFmtId="0" fontId="65" fillId="0" borderId="0" xfId="0" applyFont="1" applyAlignment="1">
      <alignment horizontal="center"/>
    </xf>
    <xf numFmtId="0" fontId="0" fillId="0" borderId="118" xfId="0" applyBorder="1" applyAlignment="1">
      <alignment horizontal="center" vertical="center"/>
    </xf>
    <xf numFmtId="0" fontId="0" fillId="0" borderId="137" xfId="0" applyBorder="1" applyAlignment="1">
      <alignment vertical="center"/>
    </xf>
    <xf numFmtId="0" fontId="67" fillId="0" borderId="138" xfId="0" applyFont="1" applyBorder="1" applyAlignment="1">
      <alignment horizontal="left" vertical="center" wrapText="1"/>
    </xf>
    <xf numFmtId="0" fontId="67" fillId="0" borderId="139" xfId="0" applyFont="1" applyBorder="1" applyAlignment="1">
      <alignment horizontal="left" vertical="center"/>
    </xf>
    <xf numFmtId="0" fontId="67" fillId="0" borderId="138" xfId="0" applyFont="1" applyBorder="1" applyAlignment="1">
      <alignment horizontal="center" vertical="center"/>
    </xf>
    <xf numFmtId="0" fontId="67" fillId="0" borderId="140" xfId="0" applyFont="1" applyBorder="1" applyAlignment="1">
      <alignment horizontal="left" vertical="center"/>
    </xf>
    <xf numFmtId="20" fontId="74" fillId="0" borderId="138" xfId="0" applyNumberFormat="1" applyFont="1" applyBorder="1" applyAlignment="1">
      <alignment vertical="center"/>
    </xf>
    <xf numFmtId="1" fontId="96" fillId="0" borderId="138" xfId="0" applyNumberFormat="1" applyFont="1" applyBorder="1" applyAlignment="1">
      <alignment horizontal="center" vertical="center"/>
    </xf>
    <xf numFmtId="171" fontId="74" fillId="0" borderId="140" xfId="0" applyNumberFormat="1" applyFont="1" applyBorder="1" applyAlignment="1">
      <alignment horizontal="center" vertical="center"/>
    </xf>
    <xf numFmtId="170" fontId="84" fillId="0" borderId="138" xfId="0" applyNumberFormat="1" applyFont="1" applyBorder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119" fillId="0" borderId="0" xfId="0" applyFont="1" applyAlignment="1">
      <alignment horizontal="left" vertical="center"/>
    </xf>
    <xf numFmtId="0" fontId="120" fillId="0" borderId="0" xfId="0" applyFont="1" applyAlignment="1">
      <alignment horizontal="left" vertical="center"/>
    </xf>
    <xf numFmtId="0" fontId="122" fillId="0" borderId="0" xfId="0" applyFont="1" applyAlignment="1">
      <alignment horizontal="left" vertical="center"/>
    </xf>
    <xf numFmtId="0" fontId="123" fillId="0" borderId="0" xfId="0" applyFont="1" applyAlignment="1">
      <alignment horizontal="left" vertical="center"/>
    </xf>
    <xf numFmtId="0" fontId="122" fillId="0" borderId="0" xfId="0" applyFont="1" applyAlignment="1">
      <alignment horizontal="center" vertical="center"/>
    </xf>
    <xf numFmtId="0" fontId="123" fillId="0" borderId="0" xfId="0" applyFont="1" applyAlignment="1">
      <alignment horizontal="right" vertical="center"/>
    </xf>
    <xf numFmtId="0" fontId="123" fillId="0" borderId="0" xfId="0" applyFont="1" applyAlignment="1">
      <alignment horizontal="center" vertical="center"/>
    </xf>
    <xf numFmtId="0" fontId="124" fillId="0" borderId="0" xfId="13" applyFont="1" applyBorder="1" applyAlignment="1" applyProtection="1">
      <alignment horizontal="left" vertical="center"/>
    </xf>
    <xf numFmtId="0" fontId="121" fillId="0" borderId="0" xfId="19" applyFont="1" applyAlignment="1">
      <alignment horizontal="center" vertical="center"/>
    </xf>
    <xf numFmtId="0" fontId="94" fillId="0" borderId="46" xfId="0" applyFont="1" applyBorder="1" applyAlignment="1">
      <alignment horizontal="center" vertical="center" shrinkToFit="1"/>
    </xf>
    <xf numFmtId="0" fontId="126" fillId="0" borderId="0" xfId="0" applyFont="1"/>
    <xf numFmtId="0" fontId="100" fillId="0" borderId="0" xfId="0" applyFont="1" applyAlignment="1">
      <alignment horizontal="center"/>
    </xf>
    <xf numFmtId="1" fontId="100" fillId="0" borderId="37" xfId="0" applyNumberFormat="1" applyFont="1" applyBorder="1" applyAlignment="1">
      <alignment horizontal="center" vertical="center" wrapText="1"/>
    </xf>
    <xf numFmtId="0" fontId="100" fillId="0" borderId="111" xfId="0" applyFont="1" applyBorder="1" applyAlignment="1">
      <alignment horizontal="center"/>
    </xf>
    <xf numFmtId="0" fontId="100" fillId="0" borderId="96" xfId="0" applyFont="1" applyBorder="1" applyAlignment="1">
      <alignment horizontal="center"/>
    </xf>
    <xf numFmtId="0" fontId="19" fillId="0" borderId="138" xfId="0" applyFont="1" applyBorder="1" applyAlignment="1">
      <alignment horizontal="left" vertical="center"/>
    </xf>
    <xf numFmtId="0" fontId="68" fillId="0" borderId="70" xfId="0" applyFont="1" applyBorder="1" applyAlignment="1">
      <alignment horizontal="left" vertical="center"/>
    </xf>
    <xf numFmtId="0" fontId="68" fillId="0" borderId="71" xfId="0" applyFont="1" applyBorder="1" applyAlignment="1">
      <alignment horizontal="left" vertical="center"/>
    </xf>
    <xf numFmtId="0" fontId="67" fillId="0" borderId="71" xfId="0" applyFont="1" applyBorder="1" applyAlignment="1">
      <alignment horizontal="left" vertical="center"/>
    </xf>
    <xf numFmtId="171" fontId="35" fillId="0" borderId="108" xfId="0" applyNumberFormat="1" applyFont="1" applyBorder="1" applyAlignment="1">
      <alignment horizontal="center" vertical="center"/>
    </xf>
    <xf numFmtId="0" fontId="94" fillId="0" borderId="120" xfId="0" applyFont="1" applyBorder="1" applyAlignment="1">
      <alignment horizontal="center" vertical="center" shrinkToFit="1"/>
    </xf>
    <xf numFmtId="0" fontId="18" fillId="0" borderId="138" xfId="0" applyFont="1" applyBorder="1" applyAlignment="1">
      <alignment horizontal="left" vertical="center"/>
    </xf>
    <xf numFmtId="1" fontId="52" fillId="0" borderId="0" xfId="0" applyNumberFormat="1" applyFont="1" applyAlignment="1">
      <alignment horizontal="center"/>
    </xf>
    <xf numFmtId="0" fontId="55" fillId="0" borderId="139" xfId="0" applyFont="1" applyBorder="1" applyAlignment="1">
      <alignment horizontal="left" vertical="center"/>
    </xf>
    <xf numFmtId="0" fontId="55" fillId="0" borderId="103" xfId="0" applyFont="1" applyBorder="1" applyAlignment="1">
      <alignment horizontal="left" vertical="center"/>
    </xf>
    <xf numFmtId="0" fontId="65" fillId="21" borderId="114" xfId="0" applyFont="1" applyFill="1" applyBorder="1" applyAlignment="1">
      <alignment horizontal="left" vertical="center"/>
    </xf>
    <xf numFmtId="0" fontId="65" fillId="21" borderId="71" xfId="0" applyFont="1" applyFill="1" applyBorder="1" applyAlignment="1">
      <alignment horizontal="left" vertical="center"/>
    </xf>
    <xf numFmtId="0" fontId="65" fillId="21" borderId="115" xfId="0" applyFont="1" applyFill="1" applyBorder="1" applyAlignment="1">
      <alignment horizontal="left" vertical="center"/>
    </xf>
    <xf numFmtId="171" fontId="96" fillId="0" borderId="0" xfId="0" applyNumberFormat="1" applyFont="1" applyAlignment="1">
      <alignment horizontal="center" vertical="center"/>
    </xf>
    <xf numFmtId="1" fontId="74" fillId="0" borderId="0" xfId="0" applyNumberFormat="1" applyFont="1" applyAlignment="1">
      <alignment horizontal="center" vertical="center"/>
    </xf>
    <xf numFmtId="170" fontId="84" fillId="0" borderId="0" xfId="0" applyNumberFormat="1" applyFont="1" applyAlignment="1">
      <alignment horizontal="center" vertical="center"/>
    </xf>
    <xf numFmtId="171" fontId="74" fillId="0" borderId="0" xfId="0" applyNumberFormat="1" applyFont="1" applyAlignment="1">
      <alignment horizontal="center" vertical="center"/>
    </xf>
    <xf numFmtId="168" fontId="74" fillId="0" borderId="0" xfId="0" applyNumberFormat="1" applyFont="1" applyAlignment="1">
      <alignment horizontal="left" vertical="center"/>
    </xf>
    <xf numFmtId="20" fontId="35" fillId="0" borderId="0" xfId="0" applyNumberFormat="1" applyFont="1" applyAlignment="1">
      <alignment horizontal="center" vertical="center"/>
    </xf>
    <xf numFmtId="2" fontId="96" fillId="0" borderId="0" xfId="0" applyNumberFormat="1" applyFont="1" applyAlignment="1">
      <alignment vertical="center"/>
    </xf>
    <xf numFmtId="170" fontId="84" fillId="0" borderId="0" xfId="0" quotePrefix="1" applyNumberFormat="1" applyFont="1" applyAlignment="1">
      <alignment horizontal="center" vertical="center"/>
    </xf>
    <xf numFmtId="0" fontId="57" fillId="0" borderId="138" xfId="0" applyFont="1" applyBorder="1" applyAlignment="1">
      <alignment horizontal="left" vertical="center"/>
    </xf>
    <xf numFmtId="0" fontId="57" fillId="0" borderId="138" xfId="0" applyFont="1" applyBorder="1" applyAlignment="1">
      <alignment horizontal="left" vertical="center" wrapText="1"/>
    </xf>
    <xf numFmtId="170" fontId="84" fillId="0" borderId="149" xfId="0" quotePrefix="1" applyNumberFormat="1" applyFont="1" applyBorder="1" applyAlignment="1">
      <alignment horizontal="center" vertical="center"/>
    </xf>
    <xf numFmtId="171" fontId="74" fillId="0" borderId="149" xfId="0" applyNumberFormat="1" applyFont="1" applyBorder="1" applyAlignment="1">
      <alignment horizontal="center" vertical="center"/>
    </xf>
    <xf numFmtId="0" fontId="55" fillId="0" borderId="147" xfId="0" applyFont="1" applyBorder="1" applyAlignment="1">
      <alignment horizontal="left" vertical="center"/>
    </xf>
    <xf numFmtId="0" fontId="55" fillId="0" borderId="150" xfId="0" applyFont="1" applyBorder="1" applyAlignment="1">
      <alignment horizontal="left" vertical="center"/>
    </xf>
    <xf numFmtId="0" fontId="35" fillId="0" borderId="149" xfId="0" applyFont="1" applyBorder="1" applyAlignment="1">
      <alignment horizontal="center" vertical="center"/>
    </xf>
    <xf numFmtId="168" fontId="74" fillId="0" borderId="149" xfId="0" applyNumberFormat="1" applyFont="1" applyBorder="1" applyAlignment="1">
      <alignment horizontal="left" vertical="center"/>
    </xf>
    <xf numFmtId="20" fontId="35" fillId="0" borderId="149" xfId="0" applyNumberFormat="1" applyFont="1" applyBorder="1" applyAlignment="1">
      <alignment horizontal="center" vertical="center"/>
    </xf>
    <xf numFmtId="0" fontId="74" fillId="0" borderId="149" xfId="0" applyFont="1" applyBorder="1" applyAlignment="1">
      <alignment vertical="center"/>
    </xf>
    <xf numFmtId="1" fontId="74" fillId="0" borderId="149" xfId="0" applyNumberFormat="1" applyFont="1" applyBorder="1" applyAlignment="1">
      <alignment horizontal="center" vertical="center"/>
    </xf>
    <xf numFmtId="171" fontId="96" fillId="0" borderId="149" xfId="0" applyNumberFormat="1" applyFont="1" applyBorder="1" applyAlignment="1">
      <alignment horizontal="center" vertical="center"/>
    </xf>
    <xf numFmtId="2" fontId="96" fillId="0" borderId="149" xfId="0" applyNumberFormat="1" applyFont="1" applyBorder="1" applyAlignment="1">
      <alignment vertical="center"/>
    </xf>
    <xf numFmtId="171" fontId="74" fillId="0" borderId="151" xfId="0" applyNumberFormat="1" applyFont="1" applyBorder="1" applyAlignment="1">
      <alignment horizontal="center" vertical="center"/>
    </xf>
    <xf numFmtId="1" fontId="96" fillId="0" borderId="0" xfId="0" applyNumberFormat="1" applyFont="1" applyAlignment="1">
      <alignment horizontal="center" vertical="center"/>
    </xf>
    <xf numFmtId="170" fontId="84" fillId="0" borderId="149" xfId="0" applyNumberFormat="1" applyFont="1" applyBorder="1" applyAlignment="1">
      <alignment horizontal="center" vertical="center"/>
    </xf>
    <xf numFmtId="1" fontId="96" fillId="0" borderId="149" xfId="0" applyNumberFormat="1" applyFont="1" applyBorder="1" applyAlignment="1">
      <alignment horizontal="center" vertical="center"/>
    </xf>
    <xf numFmtId="0" fontId="67" fillId="0" borderId="102" xfId="0" applyFont="1" applyBorder="1" applyAlignment="1">
      <alignment horizontal="left" vertical="center"/>
    </xf>
    <xf numFmtId="20" fontId="74" fillId="0" borderId="0" xfId="0" applyNumberFormat="1" applyFont="1" applyAlignment="1">
      <alignment vertical="center"/>
    </xf>
    <xf numFmtId="0" fontId="0" fillId="0" borderId="148" xfId="0" applyBorder="1" applyAlignment="1">
      <alignment horizontal="center" vertical="center"/>
    </xf>
    <xf numFmtId="0" fontId="74" fillId="0" borderId="149" xfId="0" applyFont="1" applyBorder="1" applyAlignment="1">
      <alignment horizontal="center" vertical="center"/>
    </xf>
    <xf numFmtId="0" fontId="101" fillId="0" borderId="87" xfId="0" applyFont="1" applyBorder="1" applyAlignment="1">
      <alignment horizontal="center" vertical="center"/>
    </xf>
    <xf numFmtId="0" fontId="0" fillId="0" borderId="87" xfId="0" applyBorder="1"/>
    <xf numFmtId="4" fontId="100" fillId="0" borderId="87" xfId="0" applyNumberFormat="1" applyFont="1" applyBorder="1" applyAlignment="1">
      <alignment horizontal="center" vertical="center"/>
    </xf>
    <xf numFmtId="0" fontId="0" fillId="0" borderId="81" xfId="0" applyBorder="1"/>
    <xf numFmtId="0" fontId="0" fillId="0" borderId="82" xfId="0" applyBorder="1"/>
    <xf numFmtId="0" fontId="84" fillId="0" borderId="81" xfId="0" applyFont="1" applyBorder="1" applyAlignment="1">
      <alignment horizontal="center"/>
    </xf>
    <xf numFmtId="0" fontId="84" fillId="0" borderId="82" xfId="0" applyFont="1" applyBorder="1" applyAlignment="1">
      <alignment horizontal="center"/>
    </xf>
    <xf numFmtId="0" fontId="84" fillId="0" borderId="85" xfId="0" applyFont="1" applyBorder="1" applyAlignment="1">
      <alignment horizontal="left" wrapText="1"/>
    </xf>
    <xf numFmtId="0" fontId="33" fillId="0" borderId="81" xfId="0" applyFont="1" applyBorder="1" applyAlignment="1">
      <alignment horizontal="left" vertical="center"/>
    </xf>
    <xf numFmtId="0" fontId="33" fillId="0" borderId="82" xfId="0" applyFont="1" applyBorder="1" applyAlignment="1">
      <alignment horizontal="left" vertical="center"/>
    </xf>
    <xf numFmtId="0" fontId="74" fillId="0" borderId="81" xfId="0" applyFont="1" applyBorder="1" applyAlignment="1">
      <alignment horizontal="left" vertical="center"/>
    </xf>
    <xf numFmtId="0" fontId="74" fillId="0" borderId="82" xfId="0" applyFont="1" applyBorder="1" applyAlignment="1">
      <alignment horizontal="left" vertical="center"/>
    </xf>
    <xf numFmtId="0" fontId="35" fillId="0" borderId="81" xfId="0" applyFont="1" applyBorder="1"/>
    <xf numFmtId="0" fontId="74" fillId="0" borderId="82" xfId="0" applyFont="1" applyBorder="1"/>
    <xf numFmtId="0" fontId="35" fillId="0" borderId="81" xfId="0" applyFont="1" applyBorder="1" applyAlignment="1">
      <alignment horizontal="left"/>
    </xf>
    <xf numFmtId="0" fontId="35" fillId="0" borderId="81" xfId="0" applyFont="1" applyBorder="1" applyAlignment="1">
      <alignment vertical="center"/>
    </xf>
    <xf numFmtId="0" fontId="74" fillId="0" borderId="71" xfId="0" applyFont="1" applyBorder="1" applyAlignment="1">
      <alignment horizontal="center"/>
    </xf>
    <xf numFmtId="0" fontId="88" fillId="0" borderId="0" xfId="13" applyFont="1" applyBorder="1" applyAlignment="1" applyProtection="1">
      <alignment horizontal="center" vertical="center"/>
    </xf>
    <xf numFmtId="0" fontId="0" fillId="0" borderId="129" xfId="0" applyBorder="1"/>
    <xf numFmtId="0" fontId="0" fillId="0" borderId="142" xfId="0" applyBorder="1"/>
    <xf numFmtId="0" fontId="61" fillId="0" borderId="37" xfId="0" applyFont="1" applyBorder="1" applyAlignment="1">
      <alignment horizontal="center" vertical="center"/>
    </xf>
    <xf numFmtId="0" fontId="34" fillId="0" borderId="0" xfId="0" applyFont="1" applyAlignment="1">
      <alignment horizontal="centerContinuous" vertical="center"/>
    </xf>
    <xf numFmtId="0" fontId="34" fillId="0" borderId="32" xfId="0" applyFont="1" applyBorder="1"/>
    <xf numFmtId="0" fontId="34" fillId="0" borderId="58" xfId="0" applyFont="1" applyBorder="1"/>
    <xf numFmtId="0" fontId="34" fillId="0" borderId="58" xfId="0" applyFont="1" applyBorder="1" applyAlignment="1">
      <alignment vertical="center"/>
    </xf>
    <xf numFmtId="0" fontId="127" fillId="0" borderId="58" xfId="0" applyFont="1" applyBorder="1"/>
    <xf numFmtId="0" fontId="127" fillId="0" borderId="0" xfId="0" applyFont="1"/>
    <xf numFmtId="0" fontId="34" fillId="0" borderId="0" xfId="0" applyFont="1" applyAlignment="1">
      <alignment horizontal="centerContinuous"/>
    </xf>
    <xf numFmtId="0" fontId="34" fillId="0" borderId="129" xfId="0" applyFont="1" applyBorder="1" applyAlignment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4" fillId="0" borderId="161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Continuous" vertical="center"/>
    </xf>
    <xf numFmtId="0" fontId="34" fillId="0" borderId="58" xfId="0" applyFont="1" applyBorder="1" applyAlignment="1">
      <alignment horizontal="left" vertical="center"/>
    </xf>
    <xf numFmtId="0" fontId="127" fillId="0" borderId="29" xfId="0" applyFont="1" applyBorder="1" applyAlignment="1">
      <alignment horizontal="center" vertical="center"/>
    </xf>
    <xf numFmtId="0" fontId="129" fillId="0" borderId="44" xfId="0" applyFont="1" applyBorder="1" applyAlignment="1">
      <alignment horizontal="center" vertical="center" shrinkToFit="1"/>
    </xf>
    <xf numFmtId="0" fontId="127" fillId="0" borderId="31" xfId="0" applyFont="1" applyBorder="1" applyAlignment="1">
      <alignment horizontal="center" vertical="center"/>
    </xf>
    <xf numFmtId="0" fontId="127" fillId="0" borderId="30" xfId="0" applyFont="1" applyBorder="1" applyAlignment="1">
      <alignment horizontal="center" vertical="center"/>
    </xf>
    <xf numFmtId="0" fontId="127" fillId="0" borderId="142" xfId="0" applyFont="1" applyBorder="1" applyAlignment="1">
      <alignment horizontal="center" vertical="center"/>
    </xf>
    <xf numFmtId="0" fontId="34" fillId="0" borderId="162" xfId="0" applyFont="1" applyBorder="1" applyAlignment="1">
      <alignment horizontal="center" shrinkToFit="1"/>
    </xf>
    <xf numFmtId="0" fontId="127" fillId="0" borderId="65" xfId="0" applyFont="1" applyBorder="1" applyAlignment="1">
      <alignment horizontal="center" vertical="center"/>
    </xf>
    <xf numFmtId="0" fontId="127" fillId="0" borderId="32" xfId="0" applyFont="1" applyBorder="1" applyAlignment="1">
      <alignment horizontal="center" vertical="center"/>
    </xf>
    <xf numFmtId="0" fontId="129" fillId="0" borderId="0" xfId="0" applyFont="1" applyAlignment="1">
      <alignment horizontal="center" vertical="center" shrinkToFit="1"/>
    </xf>
    <xf numFmtId="0" fontId="34" fillId="0" borderId="163" xfId="0" applyFont="1" applyBorder="1" applyAlignment="1">
      <alignment vertical="center"/>
    </xf>
    <xf numFmtId="0" fontId="53" fillId="0" borderId="163" xfId="0" applyFont="1" applyBorder="1" applyAlignment="1">
      <alignment horizontal="center"/>
    </xf>
    <xf numFmtId="0" fontId="69" fillId="0" borderId="164" xfId="0" applyFont="1" applyBorder="1" applyAlignment="1">
      <alignment horizontal="center"/>
    </xf>
    <xf numFmtId="0" fontId="53" fillId="0" borderId="165" xfId="0" applyFont="1" applyBorder="1" applyAlignment="1">
      <alignment horizontal="center"/>
    </xf>
    <xf numFmtId="0" fontId="0" fillId="0" borderId="164" xfId="0" applyBorder="1" applyAlignment="1">
      <alignment horizontal="center" vertical="center"/>
    </xf>
    <xf numFmtId="0" fontId="34" fillId="0" borderId="37" xfId="0" applyFont="1" applyBorder="1" applyAlignment="1">
      <alignment vertical="center"/>
    </xf>
    <xf numFmtId="0" fontId="34" fillId="0" borderId="37" xfId="0" applyFont="1" applyBorder="1" applyAlignment="1">
      <alignment horizontal="center" vertical="center"/>
    </xf>
    <xf numFmtId="0" fontId="34" fillId="0" borderId="21" xfId="0" applyFont="1" applyBorder="1" applyAlignment="1">
      <alignment vertical="center"/>
    </xf>
    <xf numFmtId="0" fontId="34" fillId="0" borderId="21" xfId="0" applyFont="1" applyBorder="1" applyAlignment="1">
      <alignment horizontal="center" vertical="center"/>
    </xf>
    <xf numFmtId="0" fontId="88" fillId="0" borderId="0" xfId="13" applyFont="1" applyBorder="1" applyAlignment="1" applyProtection="1">
      <alignment horizontal="center"/>
    </xf>
    <xf numFmtId="0" fontId="88" fillId="0" borderId="0" xfId="13" applyFont="1" applyBorder="1" applyAlignment="1" applyProtection="1">
      <alignment horizontal="left" vertical="center"/>
    </xf>
    <xf numFmtId="0" fontId="65" fillId="0" borderId="172" xfId="0" applyFont="1" applyBorder="1" applyAlignment="1">
      <alignment horizontal="center" vertical="center"/>
    </xf>
    <xf numFmtId="0" fontId="59" fillId="0" borderId="173" xfId="0" applyFont="1" applyBorder="1" applyAlignment="1">
      <alignment horizontal="center" vertical="center"/>
    </xf>
    <xf numFmtId="0" fontId="65" fillId="0" borderId="173" xfId="0" applyFont="1" applyBorder="1" applyAlignment="1">
      <alignment horizontal="center" vertical="center"/>
    </xf>
    <xf numFmtId="0" fontId="65" fillId="0" borderId="174" xfId="0" applyFont="1" applyBorder="1" applyAlignment="1">
      <alignment horizontal="center" vertical="center"/>
    </xf>
    <xf numFmtId="0" fontId="59" fillId="0" borderId="175" xfId="0" applyFont="1" applyBorder="1" applyAlignment="1">
      <alignment horizontal="center" vertical="center"/>
    </xf>
    <xf numFmtId="0" fontId="65" fillId="0" borderId="175" xfId="0" applyFont="1" applyBorder="1" applyAlignment="1">
      <alignment horizontal="center" vertical="center"/>
    </xf>
    <xf numFmtId="0" fontId="65" fillId="0" borderId="176" xfId="0" applyFont="1" applyBorder="1" applyAlignment="1">
      <alignment horizontal="center" vertical="center"/>
    </xf>
    <xf numFmtId="0" fontId="74" fillId="0" borderId="179" xfId="0" applyFont="1" applyBorder="1" applyAlignment="1">
      <alignment vertical="center"/>
    </xf>
    <xf numFmtId="0" fontId="74" fillId="0" borderId="180" xfId="0" applyFont="1" applyBorder="1" applyAlignment="1">
      <alignment vertical="center"/>
    </xf>
    <xf numFmtId="0" fontId="74" fillId="0" borderId="189" xfId="0" applyFont="1" applyBorder="1" applyAlignment="1">
      <alignment vertical="center"/>
    </xf>
    <xf numFmtId="0" fontId="74" fillId="0" borderId="190" xfId="0" applyFont="1" applyBorder="1" applyAlignment="1">
      <alignment vertical="center"/>
    </xf>
    <xf numFmtId="0" fontId="74" fillId="0" borderId="182" xfId="0" applyFont="1" applyBorder="1" applyAlignment="1">
      <alignment vertical="center"/>
    </xf>
    <xf numFmtId="0" fontId="84" fillId="0" borderId="177" xfId="0" applyFont="1" applyBorder="1" applyAlignment="1">
      <alignment horizontal="center"/>
    </xf>
    <xf numFmtId="0" fontId="84" fillId="0" borderId="163" xfId="0" applyFont="1" applyBorder="1" applyAlignment="1">
      <alignment horizontal="center"/>
    </xf>
    <xf numFmtId="0" fontId="52" fillId="0" borderId="163" xfId="0" applyFont="1" applyBorder="1" applyAlignment="1">
      <alignment horizontal="center"/>
    </xf>
    <xf numFmtId="0" fontId="52" fillId="0" borderId="163" xfId="0" applyFont="1" applyBorder="1" applyAlignment="1">
      <alignment horizontal="center" vertical="center"/>
    </xf>
    <xf numFmtId="0" fontId="52" fillId="0" borderId="178" xfId="0" applyFont="1" applyBorder="1" applyAlignment="1">
      <alignment horizontal="center"/>
    </xf>
    <xf numFmtId="0" fontId="34" fillId="0" borderId="192" xfId="0" applyFont="1" applyBorder="1" applyAlignment="1">
      <alignment horizontal="center" shrinkToFit="1"/>
    </xf>
    <xf numFmtId="0" fontId="34" fillId="0" borderId="193" xfId="0" applyFont="1" applyBorder="1" applyAlignment="1">
      <alignment horizontal="center" shrinkToFit="1"/>
    </xf>
    <xf numFmtId="0" fontId="34" fillId="0" borderId="194" xfId="0" applyFont="1" applyBorder="1" applyAlignment="1">
      <alignment horizontal="center" shrinkToFit="1"/>
    </xf>
    <xf numFmtId="0" fontId="34" fillId="0" borderId="170" xfId="0" applyFont="1" applyBorder="1" applyAlignment="1">
      <alignment horizontal="center" shrinkToFit="1"/>
    </xf>
    <xf numFmtId="0" fontId="34" fillId="0" borderId="171" xfId="0" applyFont="1" applyBorder="1" applyAlignment="1">
      <alignment horizontal="center" shrinkToFit="1"/>
    </xf>
    <xf numFmtId="0" fontId="129" fillId="0" borderId="193" xfId="0" applyFont="1" applyBorder="1" applyAlignment="1">
      <alignment horizontal="center" vertical="center" shrinkToFit="1"/>
    </xf>
    <xf numFmtId="0" fontId="129" fillId="0" borderId="194" xfId="0" applyFont="1" applyBorder="1" applyAlignment="1">
      <alignment horizontal="center" vertical="center" shrinkToFit="1"/>
    </xf>
    <xf numFmtId="0" fontId="0" fillId="0" borderId="195" xfId="0" applyBorder="1" applyAlignment="1">
      <alignment horizontal="center" vertical="center"/>
    </xf>
    <xf numFmtId="0" fontId="127" fillId="0" borderId="195" xfId="0" applyFont="1" applyBorder="1" applyAlignment="1">
      <alignment horizontal="center" vertical="center"/>
    </xf>
    <xf numFmtId="0" fontId="129" fillId="0" borderId="43" xfId="0" applyFont="1" applyBorder="1" applyAlignment="1">
      <alignment horizontal="center" vertical="center" shrinkToFit="1"/>
    </xf>
    <xf numFmtId="0" fontId="127" fillId="0" borderId="64" xfId="0" applyFont="1" applyBorder="1" applyAlignment="1">
      <alignment horizontal="center" vertical="center"/>
    </xf>
    <xf numFmtId="0" fontId="0" fillId="0" borderId="196" xfId="0" applyBorder="1" applyAlignment="1">
      <alignment horizontal="center" vertical="center"/>
    </xf>
    <xf numFmtId="0" fontId="127" fillId="0" borderId="196" xfId="0" applyFont="1" applyBorder="1" applyAlignment="1">
      <alignment horizontal="center" vertical="center"/>
    </xf>
    <xf numFmtId="0" fontId="34" fillId="0" borderId="172" xfId="0" applyFont="1" applyBorder="1" applyAlignment="1">
      <alignment horizontal="center" shrinkToFit="1"/>
    </xf>
    <xf numFmtId="0" fontId="34" fillId="0" borderId="173" xfId="0" applyFont="1" applyBorder="1" applyAlignment="1">
      <alignment horizontal="center" shrinkToFit="1"/>
    </xf>
    <xf numFmtId="0" fontId="34" fillId="0" borderId="197" xfId="0" applyFont="1" applyBorder="1" applyAlignment="1">
      <alignment horizontal="center" shrinkToFit="1"/>
    </xf>
    <xf numFmtId="0" fontId="34" fillId="0" borderId="169" xfId="0" applyFont="1" applyBorder="1" applyAlignment="1">
      <alignment horizontal="center" shrinkToFit="1"/>
    </xf>
    <xf numFmtId="0" fontId="129" fillId="0" borderId="173" xfId="0" applyFont="1" applyBorder="1" applyAlignment="1">
      <alignment horizontal="center" vertical="center" shrinkToFit="1"/>
    </xf>
    <xf numFmtId="0" fontId="129" fillId="0" borderId="197" xfId="0" applyFont="1" applyBorder="1" applyAlignment="1">
      <alignment horizontal="center" vertical="center" shrinkToFit="1"/>
    </xf>
    <xf numFmtId="0" fontId="52" fillId="0" borderId="190" xfId="0" applyFont="1" applyBorder="1" applyAlignment="1">
      <alignment vertical="center"/>
    </xf>
    <xf numFmtId="0" fontId="52" fillId="0" borderId="180" xfId="0" applyFont="1" applyBorder="1" applyAlignment="1">
      <alignment vertical="center"/>
    </xf>
    <xf numFmtId="0" fontId="52" fillId="0" borderId="180" xfId="0" applyFont="1" applyBorder="1" applyAlignment="1">
      <alignment horizontal="left" vertical="center"/>
    </xf>
    <xf numFmtId="0" fontId="76" fillId="0" borderId="198" xfId="0" applyFont="1" applyBorder="1" applyAlignment="1">
      <alignment horizontal="center" vertical="center"/>
    </xf>
    <xf numFmtId="0" fontId="76" fillId="0" borderId="180" xfId="0" applyFont="1" applyBorder="1" applyAlignment="1">
      <alignment horizontal="center" vertical="center"/>
    </xf>
    <xf numFmtId="0" fontId="76" fillId="0" borderId="180" xfId="0" applyFont="1" applyBorder="1" applyAlignment="1">
      <alignment vertical="center"/>
    </xf>
    <xf numFmtId="0" fontId="77" fillId="0" borderId="180" xfId="0" applyFont="1" applyBorder="1" applyAlignment="1">
      <alignment horizontal="right" vertical="center"/>
    </xf>
    <xf numFmtId="0" fontId="76" fillId="0" borderId="180" xfId="0" applyFont="1" applyBorder="1" applyAlignment="1">
      <alignment horizontal="centerContinuous" vertical="center"/>
    </xf>
    <xf numFmtId="0" fontId="76" fillId="0" borderId="180" xfId="0" applyFont="1" applyBorder="1" applyAlignment="1">
      <alignment horizontal="right" vertical="center"/>
    </xf>
    <xf numFmtId="0" fontId="76" fillId="0" borderId="180" xfId="0" applyFont="1" applyBorder="1" applyAlignment="1">
      <alignment horizontal="left" vertical="center"/>
    </xf>
    <xf numFmtId="0" fontId="76" fillId="0" borderId="189" xfId="0" applyFont="1" applyBorder="1" applyAlignment="1">
      <alignment vertical="center"/>
    </xf>
    <xf numFmtId="0" fontId="127" fillId="0" borderId="0" xfId="0" applyFont="1" applyAlignment="1">
      <alignment vertical="center"/>
    </xf>
    <xf numFmtId="0" fontId="127" fillId="0" borderId="192" xfId="0" applyFont="1" applyBorder="1" applyAlignment="1">
      <alignment vertical="center"/>
    </xf>
    <xf numFmtId="0" fontId="34" fillId="0" borderId="193" xfId="0" applyFont="1" applyBorder="1" applyAlignment="1">
      <alignment horizontal="center"/>
    </xf>
    <xf numFmtId="0" fontId="34" fillId="0" borderId="193" xfId="0" applyFont="1" applyBorder="1"/>
    <xf numFmtId="0" fontId="75" fillId="0" borderId="193" xfId="0" applyFont="1" applyBorder="1"/>
    <xf numFmtId="0" fontId="128" fillId="0" borderId="193" xfId="0" applyFont="1" applyBorder="1" applyAlignment="1">
      <alignment horizontal="center" vertical="center"/>
    </xf>
    <xf numFmtId="0" fontId="128" fillId="0" borderId="194" xfId="0" applyFont="1" applyBorder="1" applyAlignment="1">
      <alignment horizontal="center" vertical="center"/>
    </xf>
    <xf numFmtId="0" fontId="127" fillId="0" borderId="168" xfId="0" applyFont="1" applyBorder="1" applyAlignment="1">
      <alignment vertical="center"/>
    </xf>
    <xf numFmtId="0" fontId="127" fillId="0" borderId="191" xfId="0" applyFont="1" applyBorder="1" applyAlignment="1">
      <alignment vertical="center"/>
    </xf>
    <xf numFmtId="0" fontId="34" fillId="0" borderId="175" xfId="0" applyFont="1" applyBorder="1" applyAlignment="1">
      <alignment horizontal="center"/>
    </xf>
    <xf numFmtId="0" fontId="34" fillId="0" borderId="175" xfId="0" applyFont="1" applyBorder="1"/>
    <xf numFmtId="0" fontId="75" fillId="0" borderId="175" xfId="0" applyFont="1" applyBorder="1"/>
    <xf numFmtId="0" fontId="128" fillId="0" borderId="175" xfId="0" applyFont="1" applyBorder="1" applyAlignment="1">
      <alignment horizontal="center" vertical="center"/>
    </xf>
    <xf numFmtId="0" fontId="128" fillId="0" borderId="176" xfId="0" applyFont="1" applyBorder="1" applyAlignment="1">
      <alignment horizontal="center" vertical="center"/>
    </xf>
    <xf numFmtId="0" fontId="127" fillId="0" borderId="190" xfId="0" applyFont="1" applyBorder="1" applyAlignment="1">
      <alignment vertical="center"/>
    </xf>
    <xf numFmtId="0" fontId="75" fillId="0" borderId="175" xfId="0" applyFont="1" applyBorder="1" applyAlignment="1">
      <alignment horizontal="center" vertical="center"/>
    </xf>
    <xf numFmtId="0" fontId="71" fillId="0" borderId="175" xfId="0" applyFont="1" applyBorder="1" applyAlignment="1">
      <alignment horizontal="center" vertical="center"/>
    </xf>
    <xf numFmtId="0" fontId="71" fillId="0" borderId="176" xfId="0" applyFont="1" applyBorder="1" applyAlignment="1">
      <alignment horizontal="center" vertical="center"/>
    </xf>
    <xf numFmtId="0" fontId="130" fillId="0" borderId="0" xfId="0" applyFont="1" applyAlignment="1">
      <alignment vertical="center"/>
    </xf>
    <xf numFmtId="0" fontId="131" fillId="0" borderId="0" xfId="0" applyFont="1" applyAlignment="1">
      <alignment vertical="center"/>
    </xf>
    <xf numFmtId="2" fontId="74" fillId="0" borderId="0" xfId="0" applyNumberFormat="1" applyFont="1" applyAlignment="1">
      <alignment vertical="center"/>
    </xf>
    <xf numFmtId="0" fontId="55" fillId="0" borderId="139" xfId="0" applyFont="1" applyBorder="1" applyAlignment="1">
      <alignment vertical="center"/>
    </xf>
    <xf numFmtId="1" fontId="100" fillId="0" borderId="85" xfId="0" applyNumberFormat="1" applyFont="1" applyBorder="1" applyAlignment="1">
      <alignment horizontal="center" vertical="center" wrapText="1"/>
    </xf>
    <xf numFmtId="1" fontId="100" fillId="0" borderId="85" xfId="0" applyNumberFormat="1" applyFont="1" applyBorder="1" applyAlignment="1">
      <alignment horizontal="left" wrapText="1"/>
    </xf>
    <xf numFmtId="171" fontId="34" fillId="0" borderId="175" xfId="0" applyNumberFormat="1" applyFont="1" applyBorder="1" applyAlignment="1">
      <alignment horizontal="center"/>
    </xf>
    <xf numFmtId="171" fontId="34" fillId="0" borderId="193" xfId="0" applyNumberFormat="1" applyFont="1" applyBorder="1" applyAlignment="1">
      <alignment horizontal="center"/>
    </xf>
    <xf numFmtId="2" fontId="96" fillId="0" borderId="193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2" fontId="35" fillId="0" borderId="0" xfId="0" applyNumberFormat="1" applyFont="1" applyAlignment="1">
      <alignment horizontal="left" vertical="center"/>
    </xf>
    <xf numFmtId="0" fontId="133" fillId="0" borderId="0" xfId="0" applyFont="1" applyAlignment="1">
      <alignment horizontal="center" vertical="center"/>
    </xf>
    <xf numFmtId="170" fontId="84" fillId="0" borderId="139" xfId="0" applyNumberFormat="1" applyFont="1" applyBorder="1" applyAlignment="1">
      <alignment horizontal="center" vertical="center"/>
    </xf>
    <xf numFmtId="0" fontId="34" fillId="0" borderId="175" xfId="0" applyFont="1" applyBorder="1" applyAlignment="1">
      <alignment horizontal="center" vertical="center"/>
    </xf>
    <xf numFmtId="0" fontId="134" fillId="0" borderId="92" xfId="0" applyFont="1" applyBorder="1" applyAlignment="1">
      <alignment horizontal="left" vertical="center"/>
    </xf>
    <xf numFmtId="0" fontId="135" fillId="0" borderId="92" xfId="0" applyFont="1" applyBorder="1" applyAlignment="1">
      <alignment horizontal="left" vertical="center"/>
    </xf>
    <xf numFmtId="0" fontId="134" fillId="0" borderId="92" xfId="0" applyFont="1" applyBorder="1" applyAlignment="1">
      <alignment horizontal="center" vertical="center"/>
    </xf>
    <xf numFmtId="0" fontId="135" fillId="0" borderId="92" xfId="0" applyFont="1" applyBorder="1" applyAlignment="1">
      <alignment horizontal="center" vertical="center"/>
    </xf>
    <xf numFmtId="0" fontId="136" fillId="0" borderId="92" xfId="13" applyFont="1" applyBorder="1" applyAlignment="1" applyProtection="1">
      <alignment horizontal="left" vertical="center"/>
    </xf>
    <xf numFmtId="0" fontId="24" fillId="0" borderId="138" xfId="0" applyFont="1" applyBorder="1" applyAlignment="1">
      <alignment horizontal="left" vertical="center"/>
    </xf>
    <xf numFmtId="0" fontId="28" fillId="0" borderId="138" xfId="0" applyFont="1" applyBorder="1" applyAlignment="1">
      <alignment horizontal="left" vertical="center"/>
    </xf>
    <xf numFmtId="0" fontId="17" fillId="0" borderId="138" xfId="0" applyFont="1" applyBorder="1" applyAlignment="1">
      <alignment horizontal="left" vertical="center"/>
    </xf>
    <xf numFmtId="0" fontId="35" fillId="0" borderId="140" xfId="0" applyFont="1" applyBorder="1" applyAlignment="1">
      <alignment horizontal="center" vertical="center"/>
    </xf>
    <xf numFmtId="0" fontId="74" fillId="19" borderId="138" xfId="0" applyFont="1" applyFill="1" applyBorder="1" applyAlignment="1">
      <alignment vertical="center"/>
    </xf>
    <xf numFmtId="0" fontId="74" fillId="19" borderId="0" xfId="0" applyFont="1" applyFill="1" applyAlignment="1">
      <alignment horizontal="left" vertical="center"/>
    </xf>
    <xf numFmtId="0" fontId="137" fillId="0" borderId="138" xfId="0" applyFont="1" applyBorder="1" applyAlignment="1">
      <alignment horizontal="left" vertical="center"/>
    </xf>
    <xf numFmtId="0" fontId="16" fillId="0" borderId="138" xfId="0" applyFont="1" applyBorder="1" applyAlignment="1">
      <alignment horizontal="left" vertical="center"/>
    </xf>
    <xf numFmtId="0" fontId="15" fillId="0" borderId="92" xfId="0" applyFont="1" applyBorder="1" applyAlignment="1">
      <alignment horizontal="left" vertical="center"/>
    </xf>
    <xf numFmtId="0" fontId="103" fillId="0" borderId="19" xfId="0" applyFont="1" applyBorder="1" applyAlignment="1">
      <alignment horizontal="center" vertical="center"/>
    </xf>
    <xf numFmtId="0" fontId="43" fillId="0" borderId="92" xfId="13" applyFill="1" applyBorder="1" applyAlignment="1" applyProtection="1">
      <alignment horizontal="left" vertical="center"/>
    </xf>
    <xf numFmtId="0" fontId="74" fillId="0" borderId="104" xfId="0" applyFont="1" applyBorder="1" applyAlignment="1">
      <alignment horizontal="left" vertical="center"/>
    </xf>
    <xf numFmtId="0" fontId="74" fillId="0" borderId="103" xfId="0" applyFont="1" applyBorder="1" applyAlignment="1">
      <alignment horizontal="left" vertical="center"/>
    </xf>
    <xf numFmtId="0" fontId="74" fillId="0" borderId="175" xfId="0" applyFont="1" applyBorder="1" applyAlignment="1">
      <alignment horizontal="center" vertical="center"/>
    </xf>
    <xf numFmtId="0" fontId="74" fillId="0" borderId="181" xfId="0" applyFont="1" applyBorder="1" applyAlignment="1">
      <alignment horizontal="left" vertical="center"/>
    </xf>
    <xf numFmtId="0" fontId="103" fillId="0" borderId="175" xfId="0" applyFont="1" applyBorder="1" applyAlignment="1">
      <alignment horizontal="center" vertical="center"/>
    </xf>
    <xf numFmtId="0" fontId="74" fillId="0" borderId="175" xfId="0" applyFont="1" applyBorder="1" applyAlignment="1">
      <alignment horizontal="left" vertical="center"/>
    </xf>
    <xf numFmtId="0" fontId="84" fillId="0" borderId="0" xfId="0" applyFont="1"/>
    <xf numFmtId="0" fontId="84" fillId="0" borderId="0" xfId="0" applyFont="1" applyAlignment="1">
      <alignment horizontal="left"/>
    </xf>
    <xf numFmtId="1" fontId="84" fillId="0" borderId="0" xfId="0" applyNumberFormat="1" applyFont="1" applyAlignment="1">
      <alignment horizontal="left"/>
    </xf>
    <xf numFmtId="0" fontId="0" fillId="0" borderId="50" xfId="0" applyBorder="1"/>
    <xf numFmtId="0" fontId="86" fillId="0" borderId="175" xfId="0" applyFont="1" applyBorder="1" applyAlignment="1">
      <alignment horizontal="center" vertical="center"/>
    </xf>
    <xf numFmtId="0" fontId="34" fillId="0" borderId="10" xfId="0" applyFont="1" applyBorder="1" applyAlignment="1">
      <alignment horizontal="right" vertical="center"/>
    </xf>
    <xf numFmtId="0" fontId="74" fillId="0" borderId="175" xfId="0" applyFont="1" applyBorder="1" applyAlignment="1">
      <alignment horizontal="right" vertical="center"/>
    </xf>
    <xf numFmtId="0" fontId="135" fillId="0" borderId="92" xfId="0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5" fillId="0" borderId="175" xfId="0" applyFont="1" applyBorder="1" applyAlignment="1">
      <alignment horizontal="center" vertical="center"/>
    </xf>
    <xf numFmtId="0" fontId="0" fillId="0" borderId="175" xfId="0" applyBorder="1"/>
    <xf numFmtId="0" fontId="74" fillId="0" borderId="0" xfId="0" applyFont="1" applyAlignment="1">
      <alignment horizontal="center" wrapText="1"/>
    </xf>
    <xf numFmtId="0" fontId="0" fillId="0" borderId="137" xfId="0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61" fillId="16" borderId="144" xfId="0" applyFont="1" applyFill="1" applyBorder="1" applyAlignment="1">
      <alignment horizontal="left" vertical="center"/>
    </xf>
    <xf numFmtId="0" fontId="61" fillId="16" borderId="85" xfId="0" applyFont="1" applyFill="1" applyBorder="1" applyAlignment="1">
      <alignment horizontal="left" vertical="center"/>
    </xf>
    <xf numFmtId="0" fontId="61" fillId="19" borderId="144" xfId="0" applyFont="1" applyFill="1" applyBorder="1" applyAlignment="1">
      <alignment horizontal="left" vertical="center"/>
    </xf>
    <xf numFmtId="0" fontId="14" fillId="0" borderId="92" xfId="0" applyFont="1" applyBorder="1" applyAlignment="1">
      <alignment horizontal="left" vertical="center"/>
    </xf>
    <xf numFmtId="0" fontId="14" fillId="0" borderId="92" xfId="0" applyFont="1" applyBorder="1" applyAlignment="1">
      <alignment horizontal="center" vertical="center"/>
    </xf>
    <xf numFmtId="0" fontId="110" fillId="0" borderId="92" xfId="13" applyFont="1" applyBorder="1" applyAlignment="1" applyProtection="1">
      <alignment horizontal="left" vertical="center"/>
    </xf>
    <xf numFmtId="0" fontId="14" fillId="0" borderId="175" xfId="0" applyFont="1" applyBorder="1" applyAlignment="1">
      <alignment horizontal="left" vertical="center"/>
    </xf>
    <xf numFmtId="0" fontId="14" fillId="0" borderId="175" xfId="0" applyFont="1" applyBorder="1" applyAlignment="1">
      <alignment horizontal="center" vertical="center"/>
    </xf>
    <xf numFmtId="0" fontId="110" fillId="0" borderId="175" xfId="13" applyFont="1" applyBorder="1" applyAlignment="1" applyProtection="1">
      <alignment horizontal="left" vertical="center"/>
    </xf>
    <xf numFmtId="0" fontId="74" fillId="0" borderId="104" xfId="0" applyFont="1" applyBorder="1" applyAlignment="1">
      <alignment vertical="center"/>
    </xf>
    <xf numFmtId="0" fontId="74" fillId="0" borderId="103" xfId="0" applyFont="1" applyBorder="1"/>
    <xf numFmtId="0" fontId="110" fillId="0" borderId="92" xfId="13" applyFont="1" applyBorder="1" applyAlignment="1" applyProtection="1"/>
    <xf numFmtId="0" fontId="110" fillId="0" borderId="0" xfId="13" applyFont="1" applyBorder="1" applyAlignment="1" applyProtection="1">
      <alignment horizontal="left" vertical="center"/>
    </xf>
    <xf numFmtId="0" fontId="14" fillId="0" borderId="113" xfId="0" applyFont="1" applyBorder="1" applyAlignment="1">
      <alignment horizontal="left" vertical="center"/>
    </xf>
    <xf numFmtId="0" fontId="14" fillId="0" borderId="113" xfId="0" applyFont="1" applyBorder="1" applyAlignment="1">
      <alignment horizontal="center" vertical="center"/>
    </xf>
    <xf numFmtId="0" fontId="110" fillId="0" borderId="175" xfId="13" applyFont="1" applyFill="1" applyBorder="1" applyAlignment="1" applyProtection="1">
      <alignment horizontal="left" vertical="center" wrapText="1"/>
    </xf>
    <xf numFmtId="0" fontId="61" fillId="22" borderId="144" xfId="0" applyFont="1" applyFill="1" applyBorder="1" applyAlignment="1">
      <alignment horizontal="left" vertical="center"/>
    </xf>
    <xf numFmtId="0" fontId="61" fillId="23" borderId="144" xfId="0" applyFont="1" applyFill="1" applyBorder="1" applyAlignment="1">
      <alignment horizontal="left" vertical="center"/>
    </xf>
    <xf numFmtId="0" fontId="61" fillId="21" borderId="85" xfId="0" applyFont="1" applyFill="1" applyBorder="1" applyAlignment="1">
      <alignment horizontal="center" vertical="center"/>
    </xf>
    <xf numFmtId="0" fontId="61" fillId="24" borderId="144" xfId="0" applyFont="1" applyFill="1" applyBorder="1" applyAlignment="1">
      <alignment horizontal="left" vertical="center"/>
    </xf>
    <xf numFmtId="0" fontId="0" fillId="22" borderId="0" xfId="0" applyFill="1" applyAlignment="1">
      <alignment vertical="center"/>
    </xf>
    <xf numFmtId="0" fontId="87" fillId="0" borderId="0" xfId="0" applyFont="1" applyAlignment="1">
      <alignment horizontal="left" vertical="center"/>
    </xf>
    <xf numFmtId="0" fontId="0" fillId="0" borderId="175" xfId="0" applyBorder="1" applyAlignment="1">
      <alignment horizontal="center" vertical="center"/>
    </xf>
    <xf numFmtId="0" fontId="138" fillId="0" borderId="107" xfId="19" applyFont="1" applyBorder="1" applyAlignment="1">
      <alignment horizontal="center" vertical="center"/>
    </xf>
    <xf numFmtId="0" fontId="138" fillId="0" borderId="39" xfId="19" applyFont="1" applyBorder="1" applyAlignment="1">
      <alignment horizontal="center"/>
    </xf>
    <xf numFmtId="0" fontId="74" fillId="0" borderId="180" xfId="0" applyFont="1" applyBorder="1" applyAlignment="1">
      <alignment horizontal="left" vertical="center"/>
    </xf>
    <xf numFmtId="1" fontId="96" fillId="0" borderId="92" xfId="0" applyNumberFormat="1" applyFont="1" applyBorder="1" applyAlignment="1">
      <alignment horizontal="center" vertical="center"/>
    </xf>
    <xf numFmtId="0" fontId="55" fillId="0" borderId="147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141" fillId="0" borderId="0" xfId="0" applyFont="1"/>
    <xf numFmtId="0" fontId="55" fillId="0" borderId="149" xfId="0" applyFont="1" applyBorder="1" applyAlignment="1">
      <alignment vertical="center"/>
    </xf>
    <xf numFmtId="171" fontId="35" fillId="0" borderId="151" xfId="0" applyNumberFormat="1" applyFont="1" applyBorder="1" applyAlignment="1">
      <alignment horizontal="center" vertical="center"/>
    </xf>
    <xf numFmtId="0" fontId="13" fillId="0" borderId="92" xfId="0" applyFont="1" applyBorder="1" applyAlignment="1">
      <alignment horizontal="left" vertical="center"/>
    </xf>
    <xf numFmtId="0" fontId="14" fillId="0" borderId="181" xfId="0" applyFont="1" applyBorder="1" applyAlignment="1">
      <alignment horizontal="left" vertical="center"/>
    </xf>
    <xf numFmtId="0" fontId="14" fillId="19" borderId="92" xfId="0" applyFont="1" applyFill="1" applyBorder="1" applyAlignment="1">
      <alignment horizontal="left" vertical="center"/>
    </xf>
    <xf numFmtId="0" fontId="43" fillId="0" borderId="175" xfId="13" applyBorder="1" applyAlignment="1" applyProtection="1">
      <alignment horizontal="left" vertical="center"/>
    </xf>
    <xf numFmtId="0" fontId="74" fillId="0" borderId="174" xfId="0" applyFont="1" applyBorder="1" applyAlignment="1">
      <alignment horizontal="left" vertical="center"/>
    </xf>
    <xf numFmtId="0" fontId="11" fillId="0" borderId="175" xfId="0" applyFont="1" applyBorder="1" applyAlignment="1">
      <alignment horizontal="left" vertical="center"/>
    </xf>
    <xf numFmtId="0" fontId="13" fillId="0" borderId="175" xfId="0" applyFont="1" applyBorder="1" applyAlignment="1">
      <alignment horizontal="left" vertical="center"/>
    </xf>
    <xf numFmtId="0" fontId="74" fillId="19" borderId="104" xfId="0" applyFont="1" applyFill="1" applyBorder="1" applyAlignment="1">
      <alignment horizontal="left" vertical="center"/>
    </xf>
    <xf numFmtId="0" fontId="8" fillId="0" borderId="175" xfId="0" applyFont="1" applyBorder="1" applyAlignment="1">
      <alignment horizontal="left" vertical="center"/>
    </xf>
    <xf numFmtId="0" fontId="110" fillId="0" borderId="92" xfId="13" applyFont="1" applyFill="1" applyBorder="1" applyAlignment="1" applyProtection="1">
      <alignment horizontal="left" vertical="center" wrapText="1"/>
    </xf>
    <xf numFmtId="0" fontId="35" fillId="0" borderId="175" xfId="0" applyFont="1" applyBorder="1" applyAlignment="1">
      <alignment horizontal="center"/>
    </xf>
    <xf numFmtId="0" fontId="0" fillId="0" borderId="175" xfId="0" applyBorder="1" applyAlignment="1">
      <alignment horizontal="right" vertical="center"/>
    </xf>
    <xf numFmtId="0" fontId="34" fillId="0" borderId="173" xfId="0" applyFont="1" applyBorder="1"/>
    <xf numFmtId="0" fontId="34" fillId="0" borderId="173" xfId="0" applyFont="1" applyBorder="1" applyAlignment="1">
      <alignment horizontal="center"/>
    </xf>
    <xf numFmtId="0" fontId="34" fillId="0" borderId="173" xfId="0" applyFont="1" applyBorder="1" applyAlignment="1">
      <alignment horizontal="right" vertical="center"/>
    </xf>
    <xf numFmtId="0" fontId="34" fillId="0" borderId="173" xfId="0" applyFont="1" applyBorder="1" applyAlignment="1">
      <alignment horizontal="right"/>
    </xf>
    <xf numFmtId="0" fontId="34" fillId="0" borderId="173" xfId="19" applyFont="1" applyBorder="1"/>
    <xf numFmtId="0" fontId="34" fillId="0" borderId="169" xfId="19" applyFont="1" applyBorder="1"/>
    <xf numFmtId="0" fontId="12" fillId="0" borderId="175" xfId="0" applyFont="1" applyBorder="1" applyAlignment="1">
      <alignment horizontal="left" vertical="center"/>
    </xf>
    <xf numFmtId="0" fontId="138" fillId="0" borderId="175" xfId="19" applyFont="1" applyBorder="1" applyAlignment="1">
      <alignment horizontal="center" vertical="center"/>
    </xf>
    <xf numFmtId="0" fontId="140" fillId="0" borderId="175" xfId="19" applyFont="1" applyBorder="1" applyAlignment="1">
      <alignment horizontal="center" vertical="center"/>
    </xf>
    <xf numFmtId="0" fontId="74" fillId="0" borderId="175" xfId="0" applyFont="1" applyBorder="1" applyAlignment="1">
      <alignment vertical="center"/>
    </xf>
    <xf numFmtId="0" fontId="10" fillId="0" borderId="175" xfId="0" applyFont="1" applyBorder="1" applyAlignment="1">
      <alignment horizontal="left" vertical="center"/>
    </xf>
    <xf numFmtId="173" fontId="103" fillId="0" borderId="175" xfId="0" quotePrefix="1" applyNumberFormat="1" applyFont="1" applyBorder="1" applyAlignment="1">
      <alignment horizontal="left" vertical="top"/>
    </xf>
    <xf numFmtId="0" fontId="55" fillId="0" borderId="175" xfId="0" applyFont="1" applyBorder="1" applyAlignment="1">
      <alignment horizontal="left" vertical="top"/>
    </xf>
    <xf numFmtId="0" fontId="5" fillId="0" borderId="175" xfId="0" applyFont="1" applyBorder="1" applyAlignment="1">
      <alignment horizontal="left" vertical="center"/>
    </xf>
    <xf numFmtId="0" fontId="9" fillId="0" borderId="175" xfId="0" applyFont="1" applyBorder="1" applyAlignment="1">
      <alignment horizontal="left" vertical="center"/>
    </xf>
    <xf numFmtId="0" fontId="4" fillId="0" borderId="175" xfId="0" applyFont="1" applyBorder="1" applyAlignment="1">
      <alignment horizontal="left" vertical="center"/>
    </xf>
    <xf numFmtId="0" fontId="6" fillId="0" borderId="175" xfId="0" applyFont="1" applyBorder="1" applyAlignment="1">
      <alignment horizontal="left" vertical="center"/>
    </xf>
    <xf numFmtId="0" fontId="139" fillId="0" borderId="175" xfId="0" applyFont="1" applyBorder="1" applyAlignment="1">
      <alignment horizontal="center" vertical="center"/>
    </xf>
    <xf numFmtId="0" fontId="74" fillId="25" borderId="175" xfId="0" applyFont="1" applyFill="1" applyBorder="1" applyAlignment="1">
      <alignment horizontal="left" vertical="center"/>
    </xf>
    <xf numFmtId="0" fontId="34" fillId="0" borderId="174" xfId="0" applyFont="1" applyBorder="1" applyAlignment="1">
      <alignment horizontal="center"/>
    </xf>
    <xf numFmtId="0" fontId="34" fillId="0" borderId="181" xfId="0" applyFont="1" applyBorder="1" applyAlignment="1">
      <alignment horizontal="center"/>
    </xf>
    <xf numFmtId="20" fontId="0" fillId="0" borderId="0" xfId="0" applyNumberFormat="1"/>
    <xf numFmtId="20" fontId="33" fillId="0" borderId="0" xfId="0" applyNumberFormat="1" applyFont="1"/>
    <xf numFmtId="20" fontId="84" fillId="0" borderId="0" xfId="0" applyNumberFormat="1" applyFont="1"/>
    <xf numFmtId="171" fontId="84" fillId="0" borderId="0" xfId="0" applyNumberFormat="1" applyFont="1"/>
    <xf numFmtId="0" fontId="4" fillId="16" borderId="175" xfId="0" applyFont="1" applyFill="1" applyBorder="1" applyAlignment="1">
      <alignment horizontal="left" vertical="center"/>
    </xf>
    <xf numFmtId="0" fontId="14" fillId="16" borderId="175" xfId="0" applyFont="1" applyFill="1" applyBorder="1" applyAlignment="1">
      <alignment horizontal="left" vertical="center"/>
    </xf>
    <xf numFmtId="0" fontId="7" fillId="16" borderId="175" xfId="0" applyFont="1" applyFill="1" applyBorder="1" applyAlignment="1">
      <alignment horizontal="left" vertical="center"/>
    </xf>
    <xf numFmtId="0" fontId="8" fillId="16" borderId="175" xfId="0" applyFont="1" applyFill="1" applyBorder="1" applyAlignment="1">
      <alignment horizontal="left" vertical="center"/>
    </xf>
    <xf numFmtId="0" fontId="74" fillId="16" borderId="175" xfId="0" applyFont="1" applyFill="1" applyBorder="1" applyAlignment="1">
      <alignment horizontal="left" vertical="center"/>
    </xf>
    <xf numFmtId="0" fontId="9" fillId="16" borderId="175" xfId="0" applyFont="1" applyFill="1" applyBorder="1" applyAlignment="1">
      <alignment horizontal="left" vertical="center"/>
    </xf>
    <xf numFmtId="0" fontId="12" fillId="16" borderId="175" xfId="0" applyFont="1" applyFill="1" applyBorder="1" applyAlignment="1">
      <alignment horizontal="left" vertical="center"/>
    </xf>
    <xf numFmtId="0" fontId="13" fillId="16" borderId="175" xfId="0" applyFont="1" applyFill="1" applyBorder="1" applyAlignment="1">
      <alignment horizontal="left" vertical="center"/>
    </xf>
    <xf numFmtId="0" fontId="74" fillId="0" borderId="113" xfId="0" applyFont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2" fillId="16" borderId="175" xfId="0" applyFont="1" applyFill="1" applyBorder="1" applyAlignment="1">
      <alignment horizontal="left" vertical="center"/>
    </xf>
    <xf numFmtId="0" fontId="14" fillId="16" borderId="113" xfId="0" applyFont="1" applyFill="1" applyBorder="1" applyAlignment="1">
      <alignment horizontal="left" vertical="center"/>
    </xf>
    <xf numFmtId="0" fontId="74" fillId="0" borderId="11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5" fillId="0" borderId="113" xfId="0" applyFont="1" applyBorder="1" applyAlignment="1">
      <alignment horizontal="center" vertical="center"/>
    </xf>
    <xf numFmtId="0" fontId="43" fillId="0" borderId="175" xfId="13" applyBorder="1" applyAlignment="1" applyProtection="1">
      <alignment horizontal="left"/>
    </xf>
    <xf numFmtId="0" fontId="110" fillId="0" borderId="175" xfId="13" applyFont="1" applyBorder="1" applyAlignment="1" applyProtection="1">
      <alignment horizontal="left"/>
    </xf>
    <xf numFmtId="0" fontId="43" fillId="0" borderId="175" xfId="13" applyFill="1" applyBorder="1" applyAlignment="1" applyProtection="1">
      <alignment horizontal="left" wrapText="1"/>
    </xf>
    <xf numFmtId="0" fontId="110" fillId="0" borderId="0" xfId="13" applyFont="1" applyBorder="1" applyAlignment="1" applyProtection="1">
      <alignment horizontal="left"/>
    </xf>
    <xf numFmtId="0" fontId="14" fillId="21" borderId="175" xfId="0" applyFont="1" applyFill="1" applyBorder="1" applyAlignment="1">
      <alignment horizontal="left" vertical="center"/>
    </xf>
    <xf numFmtId="0" fontId="7" fillId="21" borderId="175" xfId="0" applyFont="1" applyFill="1" applyBorder="1" applyAlignment="1">
      <alignment horizontal="left" vertical="center"/>
    </xf>
    <xf numFmtId="0" fontId="3" fillId="21" borderId="175" xfId="0" applyFont="1" applyFill="1" applyBorder="1" applyAlignment="1">
      <alignment horizontal="left" vertical="center"/>
    </xf>
    <xf numFmtId="173" fontId="35" fillId="0" borderId="0" xfId="0" applyNumberFormat="1" applyFont="1" applyAlignment="1">
      <alignment horizontal="center" vertical="center"/>
    </xf>
    <xf numFmtId="175" fontId="35" fillId="0" borderId="0" xfId="0" applyNumberFormat="1" applyFont="1" applyAlignment="1">
      <alignment horizontal="center" vertical="center"/>
    </xf>
    <xf numFmtId="173" fontId="34" fillId="0" borderId="0" xfId="0" applyNumberFormat="1" applyFont="1" applyAlignment="1">
      <alignment horizontal="center" vertical="center"/>
    </xf>
    <xf numFmtId="0" fontId="0" fillId="0" borderId="203" xfId="0" applyBorder="1" applyAlignment="1">
      <alignment horizontal="left" vertical="center"/>
    </xf>
    <xf numFmtId="0" fontId="0" fillId="26" borderId="203" xfId="0" applyFill="1" applyBorder="1" applyAlignment="1">
      <alignment horizontal="left" vertical="center"/>
    </xf>
    <xf numFmtId="0" fontId="74" fillId="26" borderId="203" xfId="0" applyFont="1" applyFill="1" applyBorder="1" applyAlignment="1">
      <alignment horizontal="left" vertical="center"/>
    </xf>
    <xf numFmtId="0" fontId="0" fillId="27" borderId="203" xfId="0" applyFill="1" applyBorder="1" applyAlignment="1">
      <alignment horizontal="left" vertical="center"/>
    </xf>
    <xf numFmtId="0" fontId="0" fillId="27" borderId="204" xfId="0" applyFill="1" applyBorder="1" applyAlignment="1">
      <alignment horizontal="left" vertical="center"/>
    </xf>
    <xf numFmtId="0" fontId="0" fillId="28" borderId="203" xfId="0" applyFill="1" applyBorder="1" applyAlignment="1">
      <alignment horizontal="left" vertical="center"/>
    </xf>
    <xf numFmtId="0" fontId="0" fillId="29" borderId="203" xfId="0" applyFill="1" applyBorder="1" applyAlignment="1">
      <alignment horizontal="left" vertical="center"/>
    </xf>
    <xf numFmtId="0" fontId="0" fillId="29" borderId="204" xfId="0" applyFill="1" applyBorder="1" applyAlignment="1">
      <alignment horizontal="left" vertical="center"/>
    </xf>
    <xf numFmtId="0" fontId="1" fillId="0" borderId="175" xfId="0" applyFont="1" applyBorder="1" applyAlignment="1">
      <alignment horizontal="center" vertical="center"/>
    </xf>
    <xf numFmtId="171" fontId="74" fillId="19" borderId="140" xfId="0" applyNumberFormat="1" applyFont="1" applyFill="1" applyBorder="1" applyAlignment="1">
      <alignment horizontal="center" vertical="center"/>
    </xf>
    <xf numFmtId="171" fontId="74" fillId="19" borderId="107" xfId="0" applyNumberFormat="1" applyFont="1" applyFill="1" applyBorder="1" applyAlignment="1">
      <alignment horizontal="center" vertical="center"/>
    </xf>
    <xf numFmtId="0" fontId="35" fillId="30" borderId="138" xfId="0" applyFont="1" applyFill="1" applyBorder="1" applyAlignment="1">
      <alignment horizontal="center" vertical="center"/>
    </xf>
    <xf numFmtId="0" fontId="33" fillId="0" borderId="67" xfId="0" applyFont="1" applyBorder="1" applyAlignment="1">
      <alignment horizontal="left" vertical="center"/>
    </xf>
    <xf numFmtId="0" fontId="72" fillId="0" borderId="40" xfId="0" applyFont="1" applyBorder="1" applyAlignment="1">
      <alignment horizontal="left" vertical="center"/>
    </xf>
    <xf numFmtId="0" fontId="72" fillId="0" borderId="18" xfId="0" applyFont="1" applyBorder="1" applyAlignment="1">
      <alignment horizontal="left" vertical="center"/>
    </xf>
    <xf numFmtId="0" fontId="75" fillId="0" borderId="18" xfId="0" applyFont="1" applyBorder="1" applyAlignment="1">
      <alignment horizontal="left"/>
    </xf>
    <xf numFmtId="0" fontId="68" fillId="0" borderId="18" xfId="0" applyFont="1" applyBorder="1" applyAlignment="1">
      <alignment horizontal="left"/>
    </xf>
    <xf numFmtId="0" fontId="33" fillId="0" borderId="18" xfId="0" applyFont="1" applyBorder="1" applyAlignment="1">
      <alignment horizontal="left"/>
    </xf>
    <xf numFmtId="170" fontId="84" fillId="19" borderId="139" xfId="0" applyNumberFormat="1" applyFont="1" applyFill="1" applyBorder="1" applyAlignment="1">
      <alignment horizontal="center" vertical="center"/>
    </xf>
    <xf numFmtId="0" fontId="55" fillId="30" borderId="104" xfId="0" applyFont="1" applyFill="1" applyBorder="1" applyAlignment="1">
      <alignment horizontal="left" vertical="center"/>
    </xf>
    <xf numFmtId="0" fontId="35" fillId="30" borderId="92" xfId="0" applyFont="1" applyFill="1" applyBorder="1" applyAlignment="1">
      <alignment horizontal="center" vertical="center"/>
    </xf>
    <xf numFmtId="0" fontId="43" fillId="0" borderId="0" xfId="13" applyAlignment="1" applyProtection="1"/>
    <xf numFmtId="0" fontId="34" fillId="25" borderId="0" xfId="0" applyFont="1" applyFill="1" applyAlignment="1">
      <alignment vertical="center"/>
    </xf>
    <xf numFmtId="0" fontId="55" fillId="30" borderId="139" xfId="0" applyFont="1" applyFill="1" applyBorder="1" applyAlignment="1">
      <alignment horizontal="left" vertical="center"/>
    </xf>
    <xf numFmtId="0" fontId="133" fillId="0" borderId="0" xfId="0" applyFont="1" applyAlignment="1">
      <alignment vertical="center"/>
    </xf>
    <xf numFmtId="0" fontId="126" fillId="31" borderId="0" xfId="0" applyFont="1" applyFill="1" applyAlignment="1">
      <alignment vertical="center"/>
    </xf>
    <xf numFmtId="170" fontId="84" fillId="19" borderId="138" xfId="0" applyNumberFormat="1" applyFont="1" applyFill="1" applyBorder="1" applyAlignment="1">
      <alignment horizontal="center" vertical="center"/>
    </xf>
    <xf numFmtId="171" fontId="74" fillId="0" borderId="0" xfId="0" applyNumberFormat="1" applyFont="1"/>
    <xf numFmtId="20" fontId="74" fillId="0" borderId="0" xfId="0" applyNumberFormat="1" applyFont="1"/>
    <xf numFmtId="0" fontId="33" fillId="0" borderId="21" xfId="0" applyFont="1" applyBorder="1"/>
    <xf numFmtId="0" fontId="35" fillId="23" borderId="138" xfId="0" applyFont="1" applyFill="1" applyBorder="1" applyAlignment="1">
      <alignment horizontal="center" vertical="center"/>
    </xf>
    <xf numFmtId="0" fontId="55" fillId="27" borderId="139" xfId="0" applyFont="1" applyFill="1" applyBorder="1" applyAlignment="1">
      <alignment horizontal="left" vertical="center"/>
    </xf>
    <xf numFmtId="0" fontId="35" fillId="27" borderId="138" xfId="0" applyFont="1" applyFill="1" applyBorder="1" applyAlignment="1">
      <alignment horizontal="center" vertical="center"/>
    </xf>
    <xf numFmtId="0" fontId="74" fillId="27" borderId="0" xfId="0" applyFont="1" applyFill="1"/>
    <xf numFmtId="0" fontId="74" fillId="30" borderId="0" xfId="0" applyFont="1" applyFill="1"/>
    <xf numFmtId="0" fontId="34" fillId="27" borderId="92" xfId="0" applyFont="1" applyFill="1" applyBorder="1" applyAlignment="1">
      <alignment horizontal="center" vertical="center"/>
    </xf>
    <xf numFmtId="0" fontId="74" fillId="27" borderId="0" xfId="0" applyFont="1" applyFill="1" applyAlignment="1">
      <alignment horizontal="center" vertical="center"/>
    </xf>
    <xf numFmtId="0" fontId="0" fillId="29" borderId="203" xfId="0" applyFill="1" applyBorder="1" applyAlignment="1">
      <alignment horizontal="right" vertical="center"/>
    </xf>
    <xf numFmtId="2" fontId="96" fillId="19" borderId="138" xfId="0" applyNumberFormat="1" applyFont="1" applyFill="1" applyBorder="1" applyAlignment="1">
      <alignment vertical="center"/>
    </xf>
    <xf numFmtId="0" fontId="135" fillId="0" borderId="104" xfId="0" applyFont="1" applyBorder="1" applyAlignment="1">
      <alignment horizontal="left" vertical="center"/>
    </xf>
    <xf numFmtId="0" fontId="135" fillId="0" borderId="103" xfId="0" applyFont="1" applyBorder="1" applyAlignment="1">
      <alignment horizontal="left" vertical="center"/>
    </xf>
    <xf numFmtId="0" fontId="89" fillId="0" borderId="104" xfId="0" applyFont="1" applyBorder="1" applyAlignment="1">
      <alignment horizontal="left" vertical="center"/>
    </xf>
    <xf numFmtId="0" fontId="89" fillId="0" borderId="103" xfId="0" applyFont="1" applyBorder="1" applyAlignment="1">
      <alignment horizontal="left" vertical="center"/>
    </xf>
    <xf numFmtId="0" fontId="53" fillId="0" borderId="16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3" fillId="0" borderId="98" xfId="0" applyFont="1" applyBorder="1" applyAlignment="1">
      <alignment horizontal="center"/>
    </xf>
    <xf numFmtId="0" fontId="74" fillId="0" borderId="104" xfId="0" applyFont="1" applyBorder="1" applyAlignment="1">
      <alignment horizontal="left" vertical="center"/>
    </xf>
    <xf numFmtId="0" fontId="74" fillId="0" borderId="103" xfId="0" applyFont="1" applyBorder="1" applyAlignment="1">
      <alignment horizontal="left" vertical="center"/>
    </xf>
    <xf numFmtId="0" fontId="34" fillId="0" borderId="169" xfId="0" applyFont="1" applyBorder="1" applyAlignment="1">
      <alignment horizontal="center"/>
    </xf>
    <xf numFmtId="0" fontId="34" fillId="0" borderId="162" xfId="0" applyFont="1" applyBorder="1" applyAlignment="1">
      <alignment horizontal="center"/>
    </xf>
    <xf numFmtId="0" fontId="35" fillId="0" borderId="1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98" xfId="0" applyFont="1" applyBorder="1" applyAlignment="1">
      <alignment horizontal="center" vertical="center"/>
    </xf>
    <xf numFmtId="0" fontId="65" fillId="29" borderId="29" xfId="0" applyFont="1" applyFill="1" applyBorder="1" applyAlignment="1" applyProtection="1">
      <alignment horizontal="center" vertical="center" textRotation="90"/>
      <protection locked="0"/>
    </xf>
    <xf numFmtId="0" fontId="65" fillId="29" borderId="31" xfId="0" applyFont="1" applyFill="1" applyBorder="1" applyAlignment="1" applyProtection="1">
      <alignment horizontal="center" vertical="center" textRotation="90"/>
      <protection locked="0"/>
    </xf>
    <xf numFmtId="0" fontId="65" fillId="29" borderId="119" xfId="0" applyFont="1" applyFill="1" applyBorder="1" applyAlignment="1" applyProtection="1">
      <alignment horizontal="center" vertical="center" textRotation="90"/>
      <protection locked="0"/>
    </xf>
    <xf numFmtId="0" fontId="83" fillId="0" borderId="29" xfId="13" applyFont="1" applyBorder="1" applyAlignment="1">
      <alignment horizontal="center" vertical="center" textRotation="90"/>
      <protection locked="0"/>
    </xf>
    <xf numFmtId="0" fontId="83" fillId="0" borderId="31" xfId="13" applyFont="1" applyBorder="1" applyAlignment="1">
      <alignment horizontal="center" vertical="center" textRotation="90"/>
      <protection locked="0"/>
    </xf>
    <xf numFmtId="0" fontId="83" fillId="27" borderId="29" xfId="0" applyFont="1" applyFill="1" applyBorder="1" applyAlignment="1" applyProtection="1">
      <alignment horizontal="center" vertical="center" textRotation="90"/>
      <protection locked="0"/>
    </xf>
    <xf numFmtId="0" fontId="83" fillId="27" borderId="31" xfId="0" applyFont="1" applyFill="1" applyBorder="1" applyAlignment="1" applyProtection="1">
      <alignment horizontal="center" vertical="center" textRotation="90"/>
      <protection locked="0"/>
    </xf>
    <xf numFmtId="0" fontId="83" fillId="27" borderId="119" xfId="0" applyFont="1" applyFill="1" applyBorder="1" applyAlignment="1" applyProtection="1">
      <alignment horizontal="center" vertical="center" textRotation="90"/>
      <protection locked="0"/>
    </xf>
    <xf numFmtId="0" fontId="83" fillId="28" borderId="29" xfId="13" applyFont="1" applyFill="1" applyBorder="1" applyAlignment="1">
      <alignment horizontal="center" vertical="center" textRotation="90"/>
      <protection locked="0"/>
    </xf>
    <xf numFmtId="0" fontId="83" fillId="28" borderId="31" xfId="13" applyFont="1" applyFill="1" applyBorder="1" applyAlignment="1">
      <alignment horizontal="center" vertical="center" textRotation="90"/>
      <protection locked="0"/>
    </xf>
    <xf numFmtId="0" fontId="74" fillId="0" borderId="0" xfId="0" applyFont="1" applyAlignment="1">
      <alignment horizontal="center" wrapText="1"/>
    </xf>
    <xf numFmtId="0" fontId="59" fillId="0" borderId="0" xfId="0" applyFont="1" applyAlignment="1">
      <alignment horizontal="left" vertical="center"/>
    </xf>
    <xf numFmtId="0" fontId="59" fillId="0" borderId="130" xfId="0" applyFont="1" applyBorder="1" applyAlignment="1">
      <alignment horizontal="center" vertical="center"/>
    </xf>
    <xf numFmtId="0" fontId="76" fillId="0" borderId="37" xfId="0" applyFont="1" applyBorder="1" applyAlignment="1">
      <alignment horizontal="left"/>
    </xf>
    <xf numFmtId="0" fontId="76" fillId="0" borderId="21" xfId="0" applyFont="1" applyBorder="1" applyAlignment="1">
      <alignment horizontal="left"/>
    </xf>
    <xf numFmtId="0" fontId="33" fillId="0" borderId="3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33" fillId="0" borderId="0" xfId="0" applyFont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57" xfId="0" applyFont="1" applyBorder="1" applyAlignment="1">
      <alignment horizontal="left" vertical="center"/>
    </xf>
    <xf numFmtId="0" fontId="33" fillId="0" borderId="37" xfId="0" applyFont="1" applyBorder="1" applyAlignment="1">
      <alignment horizontal="left" vertical="center"/>
    </xf>
    <xf numFmtId="0" fontId="33" fillId="0" borderId="116" xfId="0" applyFont="1" applyBorder="1" applyAlignment="1">
      <alignment horizontal="left" vertical="center"/>
    </xf>
    <xf numFmtId="0" fontId="33" fillId="0" borderId="89" xfId="0" applyFont="1" applyBorder="1" applyAlignment="1">
      <alignment horizontal="left" vertical="center"/>
    </xf>
    <xf numFmtId="0" fontId="33" fillId="0" borderId="83" xfId="0" applyFont="1" applyBorder="1" applyAlignment="1">
      <alignment horizontal="left" vertical="center"/>
    </xf>
    <xf numFmtId="0" fontId="33" fillId="0" borderId="53" xfId="0" applyFont="1" applyBorder="1" applyAlignment="1">
      <alignment horizontal="left" vertical="center"/>
    </xf>
    <xf numFmtId="0" fontId="34" fillId="0" borderId="45" xfId="0" applyFont="1" applyBorder="1" applyAlignment="1">
      <alignment horizontal="center" vertical="center"/>
    </xf>
    <xf numFmtId="0" fontId="34" fillId="0" borderId="140" xfId="0" applyFont="1" applyBorder="1" applyAlignment="1">
      <alignment horizontal="center" vertical="center"/>
    </xf>
    <xf numFmtId="0" fontId="33" fillId="0" borderId="57" xfId="0" applyFont="1" applyBorder="1" applyAlignment="1">
      <alignment horizontal="center" vertical="center"/>
    </xf>
    <xf numFmtId="0" fontId="33" fillId="0" borderId="58" xfId="0" applyFont="1" applyBorder="1" applyAlignment="1">
      <alignment horizontal="center" vertical="center"/>
    </xf>
    <xf numFmtId="0" fontId="34" fillId="0" borderId="191" xfId="0" applyFont="1" applyBorder="1" applyAlignment="1">
      <alignment horizontal="center" vertical="center"/>
    </xf>
    <xf numFmtId="0" fontId="33" fillId="0" borderId="99" xfId="0" applyFont="1" applyBorder="1" applyAlignment="1">
      <alignment horizontal="left" vertical="center"/>
    </xf>
    <xf numFmtId="0" fontId="33" fillId="0" borderId="46" xfId="0" applyFont="1" applyBorder="1" applyAlignment="1">
      <alignment horizontal="left" vertical="center"/>
    </xf>
    <xf numFmtId="0" fontId="33" fillId="0" borderId="44" xfId="0" applyFont="1" applyBorder="1" applyAlignment="1">
      <alignment horizontal="left" vertical="center"/>
    </xf>
    <xf numFmtId="0" fontId="33" fillId="0" borderId="93" xfId="0" applyFont="1" applyBorder="1" applyAlignment="1">
      <alignment horizontal="left" vertical="center"/>
    </xf>
    <xf numFmtId="0" fontId="33" fillId="0" borderId="103" xfId="0" applyFont="1" applyBorder="1" applyAlignment="1">
      <alignment horizontal="left" vertical="center"/>
    </xf>
    <xf numFmtId="0" fontId="33" fillId="0" borderId="92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35" fillId="0" borderId="118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107" xfId="0" applyFont="1" applyBorder="1" applyAlignment="1">
      <alignment horizontal="center" vertical="center"/>
    </xf>
    <xf numFmtId="0" fontId="33" fillId="0" borderId="111" xfId="0" applyFont="1" applyBorder="1" applyAlignment="1">
      <alignment horizontal="left" vertical="center"/>
    </xf>
    <xf numFmtId="0" fontId="33" fillId="0" borderId="96" xfId="0" applyFont="1" applyBorder="1" applyAlignment="1">
      <alignment horizontal="left" vertical="center"/>
    </xf>
    <xf numFmtId="0" fontId="33" fillId="0" borderId="97" xfId="0" applyFont="1" applyBorder="1" applyAlignment="1">
      <alignment horizontal="left" vertical="center"/>
    </xf>
    <xf numFmtId="0" fontId="33" fillId="0" borderId="62" xfId="0" applyFont="1" applyBorder="1" applyAlignment="1">
      <alignment horizontal="left" vertical="center"/>
    </xf>
    <xf numFmtId="0" fontId="33" fillId="0" borderId="21" xfId="0" applyFont="1" applyBorder="1" applyAlignment="1">
      <alignment horizontal="left" vertical="center"/>
    </xf>
    <xf numFmtId="0" fontId="33" fillId="0" borderId="117" xfId="0" applyFont="1" applyBorder="1" applyAlignment="1">
      <alignment horizontal="left" vertical="center"/>
    </xf>
    <xf numFmtId="0" fontId="35" fillId="0" borderId="10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100" xfId="0" applyFont="1" applyBorder="1" applyAlignment="1">
      <alignment horizontal="left" vertical="center"/>
    </xf>
    <xf numFmtId="0" fontId="33" fillId="0" borderId="125" xfId="0" applyFont="1" applyBorder="1" applyAlignment="1">
      <alignment horizontal="left" vertical="center"/>
    </xf>
    <xf numFmtId="0" fontId="33" fillId="0" borderId="94" xfId="0" applyFont="1" applyBorder="1" applyAlignment="1">
      <alignment horizontal="left" vertical="center"/>
    </xf>
    <xf numFmtId="0" fontId="34" fillId="0" borderId="108" xfId="0" applyFont="1" applyBorder="1" applyAlignment="1">
      <alignment horizontal="center" vertical="center"/>
    </xf>
    <xf numFmtId="0" fontId="84" fillId="0" borderId="32" xfId="0" applyFont="1" applyBorder="1" applyAlignment="1">
      <alignment horizontal="center" vertical="center"/>
    </xf>
    <xf numFmtId="0" fontId="34" fillId="0" borderId="111" xfId="0" applyFont="1" applyBorder="1" applyAlignment="1">
      <alignment horizontal="left" vertical="center"/>
    </xf>
    <xf numFmtId="0" fontId="34" fillId="0" borderId="96" xfId="0" applyFont="1" applyBorder="1" applyAlignment="1">
      <alignment horizontal="left" vertical="center"/>
    </xf>
    <xf numFmtId="0" fontId="34" fillId="0" borderId="97" xfId="0" applyFont="1" applyBorder="1" applyAlignment="1">
      <alignment horizontal="left" vertical="center"/>
    </xf>
    <xf numFmtId="0" fontId="34" fillId="0" borderId="129" xfId="0" applyFont="1" applyBorder="1" applyAlignment="1">
      <alignment horizontal="left" vertical="center"/>
    </xf>
    <xf numFmtId="0" fontId="34" fillId="0" borderId="130" xfId="0" applyFont="1" applyBorder="1" applyAlignment="1">
      <alignment horizontal="left" vertical="center"/>
    </xf>
    <xf numFmtId="0" fontId="34" fillId="0" borderId="131" xfId="0" applyFont="1" applyBorder="1" applyAlignment="1">
      <alignment horizontal="left" vertical="center"/>
    </xf>
    <xf numFmtId="0" fontId="35" fillId="0" borderId="191" xfId="0" applyFont="1" applyBorder="1" applyAlignment="1">
      <alignment horizontal="center" vertical="center"/>
    </xf>
    <xf numFmtId="0" fontId="33" fillId="0" borderId="165" xfId="0" applyFont="1" applyBorder="1" applyAlignment="1">
      <alignment horizontal="left" vertical="center"/>
    </xf>
    <xf numFmtId="0" fontId="33" fillId="0" borderId="163" xfId="0" applyFont="1" applyBorder="1" applyAlignment="1">
      <alignment horizontal="left" vertical="center"/>
    </xf>
    <xf numFmtId="0" fontId="33" fillId="0" borderId="162" xfId="0" applyFont="1" applyBorder="1" applyAlignment="1">
      <alignment horizontal="left" vertical="center"/>
    </xf>
    <xf numFmtId="0" fontId="33" fillId="0" borderId="129" xfId="0" applyFont="1" applyBorder="1" applyAlignment="1">
      <alignment horizontal="left" vertical="center"/>
    </xf>
    <xf numFmtId="0" fontId="33" fillId="0" borderId="131" xfId="0" applyFont="1" applyBorder="1" applyAlignment="1">
      <alignment horizontal="left" vertical="center"/>
    </xf>
    <xf numFmtId="0" fontId="34" fillId="0" borderId="52" xfId="0" applyFont="1" applyBorder="1" applyAlignment="1">
      <alignment horizontal="center" vertical="center"/>
    </xf>
    <xf numFmtId="0" fontId="34" fillId="0" borderId="151" xfId="0" applyFont="1" applyBorder="1" applyAlignment="1">
      <alignment horizontal="center" vertical="center"/>
    </xf>
    <xf numFmtId="0" fontId="143" fillId="0" borderId="0" xfId="0" applyFont="1" applyAlignment="1">
      <alignment horizontal="left" vertical="center"/>
    </xf>
    <xf numFmtId="0" fontId="143" fillId="0" borderId="21" xfId="0" applyFont="1" applyBorder="1" applyAlignment="1">
      <alignment horizontal="left" vertical="center"/>
    </xf>
    <xf numFmtId="0" fontId="76" fillId="0" borderId="0" xfId="0" applyFont="1" applyAlignment="1">
      <alignment horizontal="left"/>
    </xf>
    <xf numFmtId="0" fontId="142" fillId="0" borderId="109" xfId="0" applyFont="1" applyBorder="1" applyAlignment="1">
      <alignment horizontal="center" vertical="center"/>
    </xf>
    <xf numFmtId="0" fontId="142" fillId="0" borderId="102" xfId="0" applyFont="1" applyBorder="1" applyAlignment="1">
      <alignment horizontal="center" vertical="center"/>
    </xf>
    <xf numFmtId="0" fontId="142" fillId="0" borderId="110" xfId="0" applyFont="1" applyBorder="1" applyAlignment="1">
      <alignment horizontal="center" vertical="center"/>
    </xf>
    <xf numFmtId="0" fontId="142" fillId="0" borderId="122" xfId="0" applyFont="1" applyBorder="1" applyAlignment="1">
      <alignment horizontal="center" vertical="center"/>
    </xf>
    <xf numFmtId="0" fontId="142" fillId="0" borderId="123" xfId="0" applyFont="1" applyBorder="1" applyAlignment="1">
      <alignment horizontal="center" vertical="center"/>
    </xf>
    <xf numFmtId="0" fontId="142" fillId="0" borderId="124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93" xfId="0" applyFont="1" applyBorder="1" applyAlignment="1">
      <alignment horizontal="left" vertical="center"/>
    </xf>
    <xf numFmtId="0" fontId="34" fillId="0" borderId="103" xfId="0" applyFont="1" applyBorder="1" applyAlignment="1">
      <alignment horizontal="left" vertical="center"/>
    </xf>
    <xf numFmtId="0" fontId="34" fillId="0" borderId="92" xfId="0" applyFont="1" applyBorder="1" applyAlignment="1">
      <alignment horizontal="left" vertical="center"/>
    </xf>
    <xf numFmtId="0" fontId="34" fillId="0" borderId="100" xfId="0" applyFont="1" applyBorder="1" applyAlignment="1">
      <alignment horizontal="left" vertical="center"/>
    </xf>
    <xf numFmtId="0" fontId="34" fillId="0" borderId="125" xfId="0" applyFont="1" applyBorder="1" applyAlignment="1">
      <alignment horizontal="left" vertical="center"/>
    </xf>
    <xf numFmtId="0" fontId="34" fillId="0" borderId="94" xfId="0" applyFont="1" applyBorder="1" applyAlignment="1">
      <alignment horizontal="left" vertical="center"/>
    </xf>
    <xf numFmtId="0" fontId="106" fillId="0" borderId="120" xfId="0" applyFont="1" applyBorder="1" applyAlignment="1">
      <alignment horizontal="center" vertical="center"/>
    </xf>
    <xf numFmtId="0" fontId="106" fillId="0" borderId="23" xfId="0" applyFont="1" applyBorder="1" applyAlignment="1">
      <alignment horizontal="center" vertical="center"/>
    </xf>
    <xf numFmtId="0" fontId="106" fillId="0" borderId="121" xfId="0" applyFont="1" applyBorder="1" applyAlignment="1">
      <alignment horizontal="center" vertical="center"/>
    </xf>
    <xf numFmtId="0" fontId="106" fillId="0" borderId="109" xfId="0" applyFont="1" applyBorder="1" applyAlignment="1">
      <alignment horizontal="center" vertical="center"/>
    </xf>
    <xf numFmtId="0" fontId="106" fillId="0" borderId="102" xfId="0" applyFont="1" applyBorder="1" applyAlignment="1">
      <alignment horizontal="center" vertical="center"/>
    </xf>
    <xf numFmtId="0" fontId="106" fillId="0" borderId="110" xfId="0" applyFont="1" applyBorder="1" applyAlignment="1">
      <alignment horizontal="center" vertical="center"/>
    </xf>
    <xf numFmtId="1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1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37" xfId="0" applyFont="1" applyBorder="1" applyAlignment="1">
      <alignment horizontal="center" vertical="center"/>
    </xf>
    <xf numFmtId="0" fontId="76" fillId="0" borderId="0" xfId="0" applyFont="1" applyAlignment="1">
      <alignment horizontal="left" vertical="top" wrapText="1"/>
    </xf>
    <xf numFmtId="0" fontId="76" fillId="0" borderId="83" xfId="0" applyFont="1" applyBorder="1" applyAlignment="1">
      <alignment horizontal="left" vertical="top" wrapText="1"/>
    </xf>
    <xf numFmtId="0" fontId="33" fillId="0" borderId="130" xfId="0" applyFont="1" applyBorder="1" applyAlignment="1">
      <alignment horizontal="left" vertical="center"/>
    </xf>
    <xf numFmtId="0" fontId="33" fillId="0" borderId="118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107" xfId="0" applyFont="1" applyBorder="1" applyAlignment="1">
      <alignment horizontal="center" vertical="center"/>
    </xf>
    <xf numFmtId="0" fontId="33" fillId="0" borderId="145" xfId="0" applyFont="1" applyBorder="1" applyAlignment="1">
      <alignment horizontal="center" vertical="center"/>
    </xf>
    <xf numFmtId="0" fontId="33" fillId="0" borderId="146" xfId="0" applyFont="1" applyBorder="1" applyAlignment="1">
      <alignment horizontal="center" vertical="center"/>
    </xf>
    <xf numFmtId="0" fontId="33" fillId="0" borderId="108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93" xfId="0" applyFont="1" applyBorder="1" applyAlignment="1">
      <alignment horizontal="left" vertical="center"/>
    </xf>
    <xf numFmtId="0" fontId="69" fillId="0" borderId="92" xfId="0" applyFont="1" applyBorder="1" applyAlignment="1">
      <alignment horizontal="left" vertical="center"/>
    </xf>
    <xf numFmtId="0" fontId="69" fillId="0" borderId="100" xfId="0" applyFont="1" applyBorder="1" applyAlignment="1">
      <alignment horizontal="left" vertical="center"/>
    </xf>
    <xf numFmtId="0" fontId="69" fillId="0" borderId="94" xfId="0" applyFont="1" applyBorder="1" applyAlignment="1">
      <alignment horizontal="left" vertical="center"/>
    </xf>
    <xf numFmtId="0" fontId="53" fillId="0" borderId="107" xfId="0" applyFont="1" applyBorder="1" applyAlignment="1">
      <alignment horizontal="center" vertical="center"/>
    </xf>
    <xf numFmtId="0" fontId="53" fillId="0" borderId="108" xfId="0" applyFont="1" applyBorder="1" applyAlignment="1">
      <alignment horizontal="center" vertical="center"/>
    </xf>
    <xf numFmtId="0" fontId="109" fillId="0" borderId="99" xfId="0" applyFont="1" applyBorder="1" applyAlignment="1">
      <alignment horizontal="center" vertical="center"/>
    </xf>
    <xf numFmtId="0" fontId="109" fillId="0" borderId="44" xfId="0" applyFont="1" applyBorder="1" applyAlignment="1">
      <alignment horizontal="center" vertical="center"/>
    </xf>
    <xf numFmtId="0" fontId="109" fillId="0" borderId="45" xfId="0" applyFont="1" applyBorder="1" applyAlignment="1">
      <alignment horizontal="center" vertical="center"/>
    </xf>
    <xf numFmtId="0" fontId="109" fillId="0" borderId="93" xfId="0" applyFont="1" applyBorder="1" applyAlignment="1">
      <alignment horizontal="center" vertical="center"/>
    </xf>
    <xf numFmtId="0" fontId="109" fillId="0" borderId="92" xfId="0" applyFont="1" applyBorder="1" applyAlignment="1">
      <alignment horizontal="center" vertical="center"/>
    </xf>
    <xf numFmtId="0" fontId="109" fillId="0" borderId="107" xfId="0" applyFont="1" applyBorder="1" applyAlignment="1">
      <alignment horizontal="center" vertical="center"/>
    </xf>
    <xf numFmtId="0" fontId="33" fillId="0" borderId="137" xfId="0" applyFont="1" applyBorder="1" applyAlignment="1">
      <alignment horizontal="left" vertical="center"/>
    </xf>
    <xf numFmtId="0" fontId="33" fillId="0" borderId="138" xfId="0" applyFont="1" applyBorder="1" applyAlignment="1">
      <alignment horizontal="left" vertical="center"/>
    </xf>
    <xf numFmtId="0" fontId="33" fillId="0" borderId="140" xfId="0" applyFont="1" applyBorder="1" applyAlignment="1">
      <alignment horizontal="center" vertical="center"/>
    </xf>
    <xf numFmtId="174" fontId="65" fillId="0" borderId="0" xfId="0" applyNumberFormat="1" applyFont="1" applyAlignment="1">
      <alignment horizontal="center" vertical="center"/>
    </xf>
    <xf numFmtId="0" fontId="33" fillId="0" borderId="58" xfId="0" applyFont="1" applyBorder="1" applyAlignment="1">
      <alignment horizontal="left" vertical="center"/>
    </xf>
    <xf numFmtId="0" fontId="33" fillId="0" borderId="98" xfId="0" applyFont="1" applyBorder="1" applyAlignment="1">
      <alignment horizontal="left" vertical="center"/>
    </xf>
    <xf numFmtId="0" fontId="83" fillId="0" borderId="93" xfId="0" applyFont="1" applyBorder="1" applyAlignment="1">
      <alignment horizontal="center" vertical="center"/>
    </xf>
    <xf numFmtId="0" fontId="83" fillId="0" borderId="92" xfId="0" applyFont="1" applyBorder="1" applyAlignment="1">
      <alignment horizontal="center" vertical="center"/>
    </xf>
    <xf numFmtId="0" fontId="83" fillId="0" borderId="107" xfId="0" applyFont="1" applyBorder="1" applyAlignment="1">
      <alignment horizontal="center" vertical="center"/>
    </xf>
    <xf numFmtId="0" fontId="33" fillId="0" borderId="49" xfId="0" applyFont="1" applyBorder="1" applyAlignment="1">
      <alignment horizontal="left" vertical="center"/>
    </xf>
    <xf numFmtId="0" fontId="33" fillId="0" borderId="50" xfId="0" applyFont="1" applyBorder="1" applyAlignment="1">
      <alignment horizontal="left" vertical="center"/>
    </xf>
    <xf numFmtId="0" fontId="33" fillId="0" borderId="194" xfId="0" applyFont="1" applyBorder="1" applyAlignment="1">
      <alignment horizontal="left" vertical="center"/>
    </xf>
    <xf numFmtId="0" fontId="33" fillId="0" borderId="193" xfId="0" applyFont="1" applyBorder="1" applyAlignment="1">
      <alignment horizontal="left" vertical="center"/>
    </xf>
    <xf numFmtId="0" fontId="33" fillId="0" borderId="176" xfId="0" applyFont="1" applyBorder="1" applyAlignment="1">
      <alignment horizontal="left" vertical="center"/>
    </xf>
    <xf numFmtId="0" fontId="33" fillId="0" borderId="175" xfId="0" applyFont="1" applyBorder="1" applyAlignment="1">
      <alignment horizontal="left" vertical="center"/>
    </xf>
    <xf numFmtId="0" fontId="33" fillId="0" borderId="151" xfId="0" applyFont="1" applyBorder="1" applyAlignment="1">
      <alignment horizontal="center" vertical="center"/>
    </xf>
    <xf numFmtId="0" fontId="33" fillId="0" borderId="191" xfId="0" applyFont="1" applyBorder="1" applyAlignment="1">
      <alignment horizontal="center" vertical="center"/>
    </xf>
    <xf numFmtId="0" fontId="34" fillId="0" borderId="45" xfId="0" quotePrefix="1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173" fontId="35" fillId="0" borderId="0" xfId="0" applyNumberFormat="1" applyFont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4" fillId="0" borderId="192" xfId="0" applyFont="1" applyBorder="1" applyAlignment="1">
      <alignment horizontal="center" vertical="center"/>
    </xf>
    <xf numFmtId="20" fontId="33" fillId="0" borderId="0" xfId="0" applyNumberFormat="1" applyFont="1" applyAlignment="1">
      <alignment horizontal="left"/>
    </xf>
    <xf numFmtId="20" fontId="33" fillId="0" borderId="21" xfId="0" applyNumberFormat="1" applyFont="1" applyBorder="1" applyAlignment="1">
      <alignment horizontal="left"/>
    </xf>
    <xf numFmtId="0" fontId="104" fillId="0" borderId="0" xfId="0" applyFont="1" applyAlignment="1">
      <alignment horizontal="center" vertical="center"/>
    </xf>
    <xf numFmtId="175" fontId="35" fillId="0" borderId="0" xfId="0" applyNumberFormat="1" applyFont="1" applyAlignment="1">
      <alignment horizontal="center" vertical="center"/>
    </xf>
    <xf numFmtId="173" fontId="35" fillId="0" borderId="0" xfId="0" applyNumberFormat="1" applyFont="1" applyAlignment="1">
      <alignment horizontal="center" vertical="center"/>
    </xf>
    <xf numFmtId="20" fontId="76" fillId="0" borderId="37" xfId="0" applyNumberFormat="1" applyFont="1" applyBorder="1" applyAlignment="1">
      <alignment horizontal="left"/>
    </xf>
    <xf numFmtId="20" fontId="76" fillId="0" borderId="21" xfId="0" applyNumberFormat="1" applyFont="1" applyBorder="1" applyAlignment="1">
      <alignment horizontal="left"/>
    </xf>
    <xf numFmtId="20" fontId="76" fillId="0" borderId="0" xfId="0" applyNumberFormat="1" applyFont="1" applyAlignment="1">
      <alignment horizontal="left"/>
    </xf>
    <xf numFmtId="0" fontId="76" fillId="0" borderId="0" xfId="0" applyFont="1" applyAlignment="1">
      <alignment horizontal="left" vertical="center"/>
    </xf>
    <xf numFmtId="0" fontId="76" fillId="0" borderId="21" xfId="0" applyFont="1" applyBorder="1" applyAlignment="1">
      <alignment horizontal="left" vertical="center"/>
    </xf>
    <xf numFmtId="0" fontId="143" fillId="0" borderId="0" xfId="0" applyFont="1" applyAlignment="1">
      <alignment horizontal="left"/>
    </xf>
    <xf numFmtId="0" fontId="143" fillId="0" borderId="21" xfId="0" applyFont="1" applyBorder="1" applyAlignment="1">
      <alignment horizontal="left"/>
    </xf>
    <xf numFmtId="0" fontId="33" fillId="0" borderId="30" xfId="0" applyFont="1" applyBorder="1" applyAlignment="1">
      <alignment horizontal="center" vertical="center"/>
    </xf>
    <xf numFmtId="0" fontId="34" fillId="0" borderId="172" xfId="0" applyFont="1" applyBorder="1" applyAlignment="1">
      <alignment horizontal="center" vertical="center"/>
    </xf>
    <xf numFmtId="0" fontId="34" fillId="0" borderId="146" xfId="0" applyFont="1" applyBorder="1" applyAlignment="1">
      <alignment horizontal="center" vertical="center"/>
    </xf>
    <xf numFmtId="0" fontId="34" fillId="0" borderId="11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3" fillId="0" borderId="148" xfId="0" applyFont="1" applyBorder="1" applyAlignment="1">
      <alignment horizontal="left" vertical="center"/>
    </xf>
    <xf numFmtId="0" fontId="33" fillId="0" borderId="149" xfId="0" applyFont="1" applyBorder="1" applyAlignment="1">
      <alignment horizontal="left" vertical="center"/>
    </xf>
    <xf numFmtId="0" fontId="33" fillId="0" borderId="202" xfId="0" applyFont="1" applyBorder="1" applyAlignment="1">
      <alignment horizontal="center" vertical="center"/>
    </xf>
    <xf numFmtId="0" fontId="33" fillId="0" borderId="99" xfId="0" applyFont="1" applyBorder="1" applyAlignment="1">
      <alignment vertical="center"/>
    </xf>
    <xf numFmtId="0" fontId="33" fillId="0" borderId="44" xfId="0" applyFont="1" applyBorder="1" applyAlignment="1">
      <alignment vertical="center"/>
    </xf>
    <xf numFmtId="0" fontId="33" fillId="0" borderId="137" xfId="0" applyFont="1" applyBorder="1" applyAlignment="1">
      <alignment vertical="center"/>
    </xf>
    <xf numFmtId="0" fontId="33" fillId="0" borderId="138" xfId="0" applyFont="1" applyBorder="1" applyAlignment="1">
      <alignment vertical="center"/>
    </xf>
    <xf numFmtId="175" fontId="65" fillId="0" borderId="0" xfId="0" applyNumberFormat="1" applyFont="1" applyAlignment="1">
      <alignment horizontal="center" vertical="center"/>
    </xf>
    <xf numFmtId="173" fontId="65" fillId="0" borderId="0" xfId="0" applyNumberFormat="1" applyFont="1" applyAlignment="1">
      <alignment horizontal="left" vertical="center"/>
    </xf>
    <xf numFmtId="173" fontId="65" fillId="0" borderId="0" xfId="0" applyNumberFormat="1" applyFont="1" applyAlignment="1">
      <alignment horizontal="center" vertical="center"/>
    </xf>
    <xf numFmtId="0" fontId="33" fillId="0" borderId="100" xfId="0" applyFont="1" applyBorder="1" applyAlignment="1">
      <alignment vertical="center"/>
    </xf>
    <xf numFmtId="0" fontId="33" fillId="0" borderId="94" xfId="0" applyFont="1" applyBorder="1" applyAlignment="1">
      <alignment vertical="center"/>
    </xf>
    <xf numFmtId="0" fontId="35" fillId="0" borderId="146" xfId="0" applyFont="1" applyBorder="1" applyAlignment="1">
      <alignment horizontal="center" vertical="center"/>
    </xf>
    <xf numFmtId="0" fontId="94" fillId="0" borderId="93" xfId="0" applyFont="1" applyBorder="1" applyAlignment="1">
      <alignment horizontal="center" vertical="center"/>
    </xf>
    <xf numFmtId="0" fontId="94" fillId="0" borderId="92" xfId="0" applyFont="1" applyBorder="1" applyAlignment="1">
      <alignment horizontal="center" vertical="center"/>
    </xf>
    <xf numFmtId="0" fontId="94" fillId="0" borderId="107" xfId="0" applyFont="1" applyBorder="1" applyAlignment="1">
      <alignment horizontal="center" vertical="center"/>
    </xf>
    <xf numFmtId="0" fontId="33" fillId="0" borderId="95" xfId="0" applyFont="1" applyBorder="1" applyAlignment="1">
      <alignment horizontal="left" vertical="center" wrapText="1"/>
    </xf>
    <xf numFmtId="0" fontId="33" fillId="0" borderId="96" xfId="0" applyFont="1" applyBorder="1" applyAlignment="1">
      <alignment horizontal="left" vertical="center" wrapText="1"/>
    </xf>
    <xf numFmtId="0" fontId="33" fillId="0" borderId="97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98" xfId="0" applyFont="1" applyBorder="1" applyAlignment="1">
      <alignment horizontal="left" vertical="center" wrapText="1"/>
    </xf>
    <xf numFmtId="0" fontId="33" fillId="0" borderId="51" xfId="0" applyFont="1" applyBorder="1" applyAlignment="1">
      <alignment horizontal="left" vertical="center" wrapText="1"/>
    </xf>
    <xf numFmtId="0" fontId="33" fillId="0" borderId="83" xfId="0" applyFont="1" applyBorder="1" applyAlignment="1">
      <alignment horizontal="left" vertical="center" wrapText="1"/>
    </xf>
    <xf numFmtId="0" fontId="33" fillId="0" borderId="53" xfId="0" applyFont="1" applyBorder="1" applyAlignment="1">
      <alignment horizontal="left" vertical="center" wrapText="1"/>
    </xf>
    <xf numFmtId="0" fontId="107" fillId="0" borderId="109" xfId="0" applyFont="1" applyBorder="1" applyAlignment="1">
      <alignment horizontal="center" vertical="center"/>
    </xf>
    <xf numFmtId="0" fontId="107" fillId="0" borderId="102" xfId="0" applyFont="1" applyBorder="1" applyAlignment="1">
      <alignment horizontal="center" vertical="center"/>
    </xf>
    <xf numFmtId="0" fontId="107" fillId="0" borderId="110" xfId="0" applyFont="1" applyBorder="1" applyAlignment="1">
      <alignment horizontal="center" vertical="center"/>
    </xf>
    <xf numFmtId="0" fontId="107" fillId="0" borderId="122" xfId="0" applyFont="1" applyBorder="1" applyAlignment="1">
      <alignment horizontal="center" vertical="center"/>
    </xf>
    <xf numFmtId="0" fontId="107" fillId="0" borderId="123" xfId="0" applyFont="1" applyBorder="1" applyAlignment="1">
      <alignment horizontal="center" vertical="center"/>
    </xf>
    <xf numFmtId="0" fontId="107" fillId="0" borderId="124" xfId="0" applyFont="1" applyBorder="1" applyAlignment="1">
      <alignment horizontal="center" vertical="center"/>
    </xf>
    <xf numFmtId="0" fontId="55" fillId="0" borderId="126" xfId="0" applyFont="1" applyBorder="1" applyAlignment="1">
      <alignment horizontal="center" vertical="center"/>
    </xf>
    <xf numFmtId="0" fontId="55" fillId="0" borderId="147" xfId="0" applyFont="1" applyBorder="1" applyAlignment="1">
      <alignment horizontal="center" vertical="center"/>
    </xf>
    <xf numFmtId="0" fontId="55" fillId="0" borderId="139" xfId="0" applyFont="1" applyBorder="1" applyAlignment="1">
      <alignment horizontal="left" vertical="center"/>
    </xf>
    <xf numFmtId="0" fontId="55" fillId="0" borderId="103" xfId="0" applyFont="1" applyBorder="1" applyAlignment="1">
      <alignment horizontal="left" vertical="center"/>
    </xf>
    <xf numFmtId="0" fontId="55" fillId="30" borderId="139" xfId="0" applyFont="1" applyFill="1" applyBorder="1" applyAlignment="1">
      <alignment horizontal="left" vertical="center"/>
    </xf>
    <xf numFmtId="0" fontId="55" fillId="30" borderId="103" xfId="0" applyFont="1" applyFill="1" applyBorder="1" applyAlignment="1">
      <alignment horizontal="left" vertical="center"/>
    </xf>
    <xf numFmtId="0" fontId="55" fillId="0" borderId="125" xfId="0" applyFont="1" applyBorder="1" applyAlignment="1">
      <alignment horizontal="center" vertical="center"/>
    </xf>
    <xf numFmtId="0" fontId="65" fillId="21" borderId="114" xfId="0" applyFont="1" applyFill="1" applyBorder="1" applyAlignment="1">
      <alignment horizontal="left" vertical="center"/>
    </xf>
    <xf numFmtId="0" fontId="65" fillId="21" borderId="71" xfId="0" applyFont="1" applyFill="1" applyBorder="1" applyAlignment="1">
      <alignment horizontal="left" vertical="center"/>
    </xf>
    <xf numFmtId="0" fontId="65" fillId="21" borderId="115" xfId="0" applyFont="1" applyFill="1" applyBorder="1" applyAlignment="1">
      <alignment horizontal="left" vertical="center"/>
    </xf>
    <xf numFmtId="173" fontId="35" fillId="0" borderId="114" xfId="0" applyNumberFormat="1" applyFont="1" applyBorder="1" applyAlignment="1">
      <alignment horizontal="center" vertical="center"/>
    </xf>
    <xf numFmtId="173" fontId="35" fillId="0" borderId="115" xfId="0" applyNumberFormat="1" applyFont="1" applyBorder="1" applyAlignment="1">
      <alignment horizontal="center" vertical="center"/>
    </xf>
    <xf numFmtId="0" fontId="67" fillId="0" borderId="139" xfId="0" applyFont="1" applyBorder="1" applyAlignment="1">
      <alignment horizontal="left" vertical="center"/>
    </xf>
    <xf numFmtId="0" fontId="67" fillId="0" borderId="103" xfId="0" applyFont="1" applyBorder="1" applyAlignment="1">
      <alignment horizontal="left" vertical="center"/>
    </xf>
    <xf numFmtId="0" fontId="55" fillId="23" borderId="139" xfId="0" applyFont="1" applyFill="1" applyBorder="1" applyAlignment="1">
      <alignment horizontal="left" vertical="center"/>
    </xf>
    <xf numFmtId="0" fontId="55" fillId="23" borderId="103" xfId="0" applyFont="1" applyFill="1" applyBorder="1" applyAlignment="1">
      <alignment horizontal="left" vertical="center"/>
    </xf>
    <xf numFmtId="0" fontId="52" fillId="0" borderId="42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" vertical="center"/>
    </xf>
    <xf numFmtId="0" fontId="67" fillId="0" borderId="138" xfId="0" applyFont="1" applyBorder="1" applyAlignment="1">
      <alignment horizontal="left" vertical="center"/>
    </xf>
    <xf numFmtId="0" fontId="55" fillId="27" borderId="139" xfId="0" applyFont="1" applyFill="1" applyBorder="1" applyAlignment="1">
      <alignment horizontal="left" vertical="center"/>
    </xf>
    <xf numFmtId="0" fontId="55" fillId="27" borderId="103" xfId="0" applyFont="1" applyFill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65" fillId="0" borderId="114" xfId="0" applyFont="1" applyBorder="1" applyAlignment="1">
      <alignment horizontal="left" vertical="center"/>
    </xf>
    <xf numFmtId="0" fontId="65" fillId="0" borderId="71" xfId="0" applyFont="1" applyBorder="1" applyAlignment="1">
      <alignment horizontal="left" vertical="center"/>
    </xf>
    <xf numFmtId="0" fontId="65" fillId="0" borderId="115" xfId="0" applyFont="1" applyBorder="1" applyAlignment="1">
      <alignment horizontal="left" vertical="center"/>
    </xf>
    <xf numFmtId="0" fontId="55" fillId="0" borderId="104" xfId="0" applyFont="1" applyBorder="1" applyAlignment="1">
      <alignment horizontal="left" vertical="center"/>
    </xf>
    <xf numFmtId="0" fontId="67" fillId="0" borderId="92" xfId="0" applyFont="1" applyBorder="1" applyAlignment="1">
      <alignment horizontal="left" vertical="center"/>
    </xf>
    <xf numFmtId="0" fontId="55" fillId="30" borderId="104" xfId="0" applyFont="1" applyFill="1" applyBorder="1" applyAlignment="1">
      <alignment horizontal="left" vertical="center"/>
    </xf>
    <xf numFmtId="0" fontId="59" fillId="0" borderId="0" xfId="0" applyFont="1" applyAlignment="1">
      <alignment vertical="center"/>
    </xf>
    <xf numFmtId="173" fontId="103" fillId="0" borderId="0" xfId="0" quotePrefix="1" applyNumberFormat="1" applyFont="1" applyAlignment="1">
      <alignment horizontal="center" vertical="center"/>
    </xf>
    <xf numFmtId="0" fontId="33" fillId="0" borderId="37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130" xfId="0" applyFont="1" applyBorder="1" applyAlignment="1">
      <alignment horizontal="center" vertical="center" wrapText="1"/>
    </xf>
    <xf numFmtId="0" fontId="33" fillId="0" borderId="142" xfId="0" applyFont="1" applyBorder="1" applyAlignment="1">
      <alignment horizontal="center" vertical="center" wrapText="1"/>
    </xf>
    <xf numFmtId="0" fontId="55" fillId="27" borderId="153" xfId="0" applyFont="1" applyFill="1" applyBorder="1" applyAlignment="1">
      <alignment horizontal="left" vertical="center"/>
    </xf>
    <xf numFmtId="0" fontId="55" fillId="0" borderId="150" xfId="0" applyFont="1" applyBorder="1" applyAlignment="1">
      <alignment horizontal="left" vertical="center"/>
    </xf>
    <xf numFmtId="0" fontId="55" fillId="0" borderId="147" xfId="0" applyFont="1" applyBorder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67" fillId="0" borderId="104" xfId="0" applyFont="1" applyBorder="1" applyAlignment="1">
      <alignment horizontal="left" vertical="center"/>
    </xf>
    <xf numFmtId="0" fontId="55" fillId="0" borderId="153" xfId="0" applyFont="1" applyBorder="1" applyAlignment="1">
      <alignment horizontal="left" vertical="center"/>
    </xf>
    <xf numFmtId="0" fontId="55" fillId="0" borderId="174" xfId="0" applyFont="1" applyBorder="1" applyAlignment="1">
      <alignment horizontal="left" vertical="center"/>
    </xf>
    <xf numFmtId="0" fontId="55" fillId="0" borderId="181" xfId="0" applyFont="1" applyBorder="1" applyAlignment="1">
      <alignment horizontal="left" vertical="center"/>
    </xf>
    <xf numFmtId="0" fontId="55" fillId="0" borderId="152" xfId="0" applyFont="1" applyBorder="1" applyAlignment="1">
      <alignment horizontal="left" vertical="center"/>
    </xf>
    <xf numFmtId="0" fontId="55" fillId="0" borderId="131" xfId="0" applyFont="1" applyBorder="1" applyAlignment="1">
      <alignment horizontal="left" vertical="center"/>
    </xf>
    <xf numFmtId="0" fontId="65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65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65" fillId="0" borderId="0" xfId="0" applyFont="1" applyAlignment="1">
      <alignment horizontal="center"/>
    </xf>
    <xf numFmtId="0" fontId="74" fillId="0" borderId="139" xfId="0" applyFont="1" applyBorder="1" applyAlignment="1">
      <alignment horizontal="left" vertical="center"/>
    </xf>
    <xf numFmtId="0" fontId="74" fillId="0" borderId="102" xfId="0" applyFont="1" applyBorder="1" applyAlignment="1">
      <alignment horizontal="left" vertical="center"/>
    </xf>
    <xf numFmtId="0" fontId="74" fillId="0" borderId="143" xfId="0" applyFont="1" applyBorder="1" applyAlignment="1">
      <alignment horizontal="left" vertical="center"/>
    </xf>
    <xf numFmtId="0" fontId="35" fillId="0" borderId="81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left"/>
    </xf>
    <xf numFmtId="0" fontId="74" fillId="0" borderId="82" xfId="0" applyFont="1" applyBorder="1" applyAlignment="1">
      <alignment horizontal="left"/>
    </xf>
    <xf numFmtId="0" fontId="74" fillId="0" borderId="62" xfId="0" applyFont="1" applyBorder="1" applyAlignment="1">
      <alignment horizontal="left" vertical="center" wrapText="1"/>
    </xf>
    <xf numFmtId="0" fontId="74" fillId="0" borderId="21" xfId="0" applyFont="1" applyBorder="1" applyAlignment="1">
      <alignment horizontal="left" vertical="center"/>
    </xf>
    <xf numFmtId="0" fontId="74" fillId="0" borderId="26" xfId="0" applyFont="1" applyBorder="1" applyAlignment="1">
      <alignment horizontal="left" vertical="center"/>
    </xf>
    <xf numFmtId="0" fontId="74" fillId="0" borderId="81" xfId="0" applyFont="1" applyBorder="1" applyAlignment="1">
      <alignment horizontal="center"/>
    </xf>
    <xf numFmtId="0" fontId="74" fillId="0" borderId="82" xfId="0" applyFont="1" applyBorder="1" applyAlignment="1">
      <alignment horizontal="center"/>
    </xf>
    <xf numFmtId="1" fontId="35" fillId="18" borderId="0" xfId="0" applyNumberFormat="1" applyFont="1" applyFill="1" applyAlignment="1">
      <alignment horizontal="center" vertical="center"/>
    </xf>
    <xf numFmtId="0" fontId="35" fillId="18" borderId="0" xfId="0" applyFont="1" applyFill="1" applyAlignment="1">
      <alignment horizontal="center" vertical="center"/>
    </xf>
    <xf numFmtId="0" fontId="74" fillId="0" borderId="110" xfId="0" applyFont="1" applyBorder="1" applyAlignment="1">
      <alignment horizontal="left" vertical="center"/>
    </xf>
    <xf numFmtId="0" fontId="74" fillId="0" borderId="109" xfId="0" applyFont="1" applyBorder="1" applyAlignment="1">
      <alignment horizontal="left" vertical="center"/>
    </xf>
    <xf numFmtId="0" fontId="74" fillId="0" borderId="101" xfId="0" applyFont="1" applyBorder="1" applyAlignment="1">
      <alignment horizontal="left" vertical="center"/>
    </xf>
    <xf numFmtId="20" fontId="35" fillId="0" borderId="0" xfId="0" applyNumberFormat="1" applyFont="1" applyAlignment="1">
      <alignment horizontal="center" vertical="center"/>
    </xf>
    <xf numFmtId="0" fontId="76" fillId="0" borderId="104" xfId="0" applyFont="1" applyBorder="1" applyAlignment="1">
      <alignment horizontal="center" vertical="center"/>
    </xf>
    <xf numFmtId="0" fontId="76" fillId="0" borderId="102" xfId="0" applyFont="1" applyBorder="1" applyAlignment="1">
      <alignment horizontal="center" vertical="center"/>
    </xf>
    <xf numFmtId="0" fontId="76" fillId="0" borderId="110" xfId="0" applyFont="1" applyBorder="1" applyAlignment="1">
      <alignment horizontal="center" vertical="center"/>
    </xf>
    <xf numFmtId="0" fontId="35" fillId="0" borderId="58" xfId="0" applyFont="1" applyBorder="1" applyAlignment="1">
      <alignment horizontal="left" vertical="center"/>
    </xf>
    <xf numFmtId="0" fontId="78" fillId="0" borderId="109" xfId="0" applyFont="1" applyBorder="1" applyAlignment="1">
      <alignment horizontal="center" vertical="center"/>
    </xf>
    <xf numFmtId="0" fontId="78" fillId="0" borderId="102" xfId="0" applyFont="1" applyBorder="1" applyAlignment="1">
      <alignment horizontal="center" vertical="center"/>
    </xf>
    <xf numFmtId="0" fontId="78" fillId="0" borderId="103" xfId="0" applyFont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35" fillId="0" borderId="58" xfId="0" applyFont="1" applyBorder="1" applyAlignment="1">
      <alignment horizontal="left"/>
    </xf>
    <xf numFmtId="0" fontId="84" fillId="0" borderId="89" xfId="0" applyFont="1" applyBorder="1" applyAlignment="1">
      <alignment horizontal="center"/>
    </xf>
    <xf numFmtId="0" fontId="84" fillId="0" borderId="83" xfId="0" applyFont="1" applyBorder="1" applyAlignment="1">
      <alignment horizontal="center"/>
    </xf>
    <xf numFmtId="0" fontId="84" fillId="0" borderId="90" xfId="0" applyFont="1" applyBorder="1" applyAlignment="1">
      <alignment horizontal="center"/>
    </xf>
    <xf numFmtId="0" fontId="59" fillId="1" borderId="78" xfId="0" applyFont="1" applyFill="1" applyBorder="1" applyAlignment="1">
      <alignment horizontal="left" vertical="center"/>
    </xf>
    <xf numFmtId="0" fontId="59" fillId="1" borderId="79" xfId="0" applyFont="1" applyFill="1" applyBorder="1" applyAlignment="1">
      <alignment horizontal="left" vertical="center"/>
    </xf>
    <xf numFmtId="0" fontId="59" fillId="1" borderId="80" xfId="0" applyFont="1" applyFill="1" applyBorder="1" applyAlignment="1">
      <alignment horizontal="left" vertical="center"/>
    </xf>
    <xf numFmtId="0" fontId="84" fillId="0" borderId="84" xfId="0" applyFont="1" applyBorder="1" applyAlignment="1">
      <alignment horizontal="center" vertical="top"/>
    </xf>
    <xf numFmtId="0" fontId="59" fillId="1" borderId="57" xfId="0" applyFont="1" applyFill="1" applyBorder="1" applyAlignment="1">
      <alignment horizontal="left"/>
    </xf>
    <xf numFmtId="0" fontId="59" fillId="1" borderId="37" xfId="0" applyFont="1" applyFill="1" applyBorder="1" applyAlignment="1">
      <alignment horizontal="left"/>
    </xf>
    <xf numFmtId="0" fontId="59" fillId="1" borderId="30" xfId="0" applyFont="1" applyFill="1" applyBorder="1" applyAlignment="1">
      <alignment horizontal="left"/>
    </xf>
    <xf numFmtId="0" fontId="35" fillId="0" borderId="86" xfId="0" applyFont="1" applyBorder="1" applyAlignment="1">
      <alignment horizontal="left" vertical="top" wrapText="1"/>
    </xf>
    <xf numFmtId="0" fontId="35" fillId="0" borderId="87" xfId="0" applyFont="1" applyBorder="1" applyAlignment="1">
      <alignment horizontal="left" vertical="top"/>
    </xf>
    <xf numFmtId="0" fontId="74" fillId="0" borderId="87" xfId="0" applyFont="1" applyBorder="1" applyAlignment="1">
      <alignment horizontal="left" vertical="top" wrapText="1"/>
    </xf>
    <xf numFmtId="0" fontId="74" fillId="0" borderId="88" xfId="0" applyFont="1" applyBorder="1" applyAlignment="1">
      <alignment horizontal="left" vertical="top" wrapText="1"/>
    </xf>
    <xf numFmtId="0" fontId="53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59" fillId="1" borderId="70" xfId="0" applyFont="1" applyFill="1" applyBorder="1" applyAlignment="1">
      <alignment horizontal="center" vertical="center"/>
    </xf>
    <xf numFmtId="0" fontId="59" fillId="1" borderId="71" xfId="0" applyFont="1" applyFill="1" applyBorder="1" applyAlignment="1">
      <alignment horizontal="center" vertical="center"/>
    </xf>
    <xf numFmtId="0" fontId="34" fillId="1" borderId="68" xfId="0" applyFont="1" applyFill="1" applyBorder="1" applyAlignment="1">
      <alignment horizontal="left" vertical="center"/>
    </xf>
    <xf numFmtId="14" fontId="34" fillId="1" borderId="68" xfId="0" applyNumberFormat="1" applyFont="1" applyFill="1" applyBorder="1" applyAlignment="1">
      <alignment horizontal="left" vertical="center"/>
    </xf>
    <xf numFmtId="0" fontId="67" fillId="1" borderId="68" xfId="0" applyFont="1" applyFill="1" applyBorder="1" applyAlignment="1">
      <alignment horizontal="left" vertical="center"/>
    </xf>
    <xf numFmtId="172" fontId="67" fillId="1" borderId="68" xfId="0" applyNumberFormat="1" applyFont="1" applyFill="1" applyBorder="1" applyAlignment="1">
      <alignment horizontal="center" vertical="center"/>
    </xf>
    <xf numFmtId="172" fontId="67" fillId="1" borderId="69" xfId="0" applyNumberFormat="1" applyFont="1" applyFill="1" applyBorder="1" applyAlignment="1">
      <alignment horizontal="center" vertical="center"/>
    </xf>
    <xf numFmtId="0" fontId="88" fillId="0" borderId="0" xfId="13" applyFont="1" applyAlignment="1" applyProtection="1">
      <alignment horizontal="left"/>
    </xf>
    <xf numFmtId="0" fontId="88" fillId="0" borderId="0" xfId="13" applyFont="1" applyAlignment="1" applyProtection="1">
      <alignment horizontal="center" vertical="center"/>
    </xf>
    <xf numFmtId="0" fontId="65" fillId="0" borderId="58" xfId="0" applyFont="1" applyBorder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5" fillId="0" borderId="32" xfId="0" applyFont="1" applyBorder="1" applyAlignment="1">
      <alignment horizontal="left" vertical="center" wrapText="1"/>
    </xf>
    <xf numFmtId="0" fontId="65" fillId="0" borderId="73" xfId="0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5" fillId="0" borderId="48" xfId="0" applyFont="1" applyBorder="1" applyAlignment="1">
      <alignment horizontal="center" vertical="center"/>
    </xf>
    <xf numFmtId="0" fontId="55" fillId="0" borderId="0" xfId="0" applyFont="1" applyAlignment="1">
      <alignment horizontal="right" vertical="center"/>
    </xf>
    <xf numFmtId="0" fontId="74" fillId="0" borderId="0" xfId="0" applyFont="1" applyAlignment="1">
      <alignment horizontal="left" wrapText="1"/>
    </xf>
    <xf numFmtId="0" fontId="88" fillId="0" borderId="58" xfId="13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65" fillId="0" borderId="47" xfId="0" applyFont="1" applyBorder="1" applyAlignment="1">
      <alignment horizontal="center" vertical="center"/>
    </xf>
    <xf numFmtId="0" fontId="65" fillId="0" borderId="47" xfId="0" applyFont="1" applyBorder="1" applyAlignment="1">
      <alignment horizontal="left" vertical="center"/>
    </xf>
    <xf numFmtId="0" fontId="65" fillId="0" borderId="25" xfId="0" applyFont="1" applyBorder="1" applyAlignment="1">
      <alignment horizontal="left" vertical="center"/>
    </xf>
    <xf numFmtId="0" fontId="65" fillId="0" borderId="48" xfId="0" applyFont="1" applyBorder="1" applyAlignment="1">
      <alignment horizontal="left" vertical="center"/>
    </xf>
    <xf numFmtId="0" fontId="53" fillId="0" borderId="47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67" xfId="0" applyFont="1" applyBorder="1" applyAlignment="1">
      <alignment horizontal="center" vertical="center"/>
    </xf>
    <xf numFmtId="0" fontId="65" fillId="0" borderId="92" xfId="0" applyFont="1" applyBorder="1" applyAlignment="1">
      <alignment horizontal="center" vertical="center"/>
    </xf>
    <xf numFmtId="20" fontId="84" fillId="17" borderId="135" xfId="28" applyNumberFormat="1" applyFont="1" applyFill="1" applyBorder="1" applyAlignment="1">
      <alignment horizontal="left" vertical="center"/>
    </xf>
    <xf numFmtId="0" fontId="84" fillId="17" borderId="135" xfId="28" applyFont="1" applyFill="1" applyBorder="1" applyAlignment="1">
      <alignment horizontal="left" vertical="center"/>
    </xf>
    <xf numFmtId="0" fontId="84" fillId="17" borderId="136" xfId="28" applyFont="1" applyFill="1" applyBorder="1" applyAlignment="1">
      <alignment horizontal="left" vertical="center"/>
    </xf>
    <xf numFmtId="0" fontId="74" fillId="0" borderId="93" xfId="0" applyFont="1" applyBorder="1" applyAlignment="1">
      <alignment horizontal="left" vertical="center"/>
    </xf>
    <xf numFmtId="0" fontId="74" fillId="0" borderId="92" xfId="0" applyFont="1" applyBorder="1" applyAlignment="1">
      <alignment horizontal="left" vertical="center"/>
    </xf>
    <xf numFmtId="0" fontId="74" fillId="0" borderId="182" xfId="0" applyFont="1" applyBorder="1" applyAlignment="1">
      <alignment horizontal="left" vertical="center"/>
    </xf>
    <xf numFmtId="0" fontId="74" fillId="0" borderId="180" xfId="0" applyFont="1" applyBorder="1" applyAlignment="1">
      <alignment horizontal="left" vertical="center"/>
    </xf>
    <xf numFmtId="0" fontId="74" fillId="0" borderId="181" xfId="0" applyFont="1" applyBorder="1" applyAlignment="1">
      <alignment horizontal="left" vertical="center"/>
    </xf>
    <xf numFmtId="0" fontId="74" fillId="0" borderId="107" xfId="0" applyFont="1" applyBorder="1" applyAlignment="1">
      <alignment horizontal="left" vertical="center"/>
    </xf>
    <xf numFmtId="0" fontId="65" fillId="0" borderId="93" xfId="0" applyFont="1" applyBorder="1" applyAlignment="1">
      <alignment horizontal="center" vertical="center"/>
    </xf>
    <xf numFmtId="0" fontId="65" fillId="0" borderId="107" xfId="0" applyFont="1" applyBorder="1" applyAlignment="1">
      <alignment horizontal="center" vertical="center"/>
    </xf>
    <xf numFmtId="169" fontId="84" fillId="16" borderId="132" xfId="0" applyNumberFormat="1" applyFont="1" applyFill="1" applyBorder="1" applyAlignment="1">
      <alignment horizontal="center" vertical="center"/>
    </xf>
    <xf numFmtId="20" fontId="84" fillId="16" borderId="133" xfId="0" applyNumberFormat="1" applyFont="1" applyFill="1" applyBorder="1" applyAlignment="1">
      <alignment horizontal="left" vertical="center"/>
    </xf>
    <xf numFmtId="0" fontId="84" fillId="16" borderId="123" xfId="0" applyFont="1" applyFill="1" applyBorder="1" applyAlignment="1">
      <alignment horizontal="left" vertical="center"/>
    </xf>
    <xf numFmtId="0" fontId="84" fillId="16" borderId="134" xfId="0" applyFont="1" applyFill="1" applyBorder="1" applyAlignment="1">
      <alignment horizontal="left" vertical="center"/>
    </xf>
    <xf numFmtId="167" fontId="84" fillId="16" borderId="100" xfId="0" applyNumberFormat="1" applyFont="1" applyFill="1" applyBorder="1" applyAlignment="1">
      <alignment horizontal="center" vertical="center"/>
    </xf>
    <xf numFmtId="167" fontId="84" fillId="16" borderId="132" xfId="0" applyNumberFormat="1" applyFont="1" applyFill="1" applyBorder="1" applyAlignment="1">
      <alignment horizontal="center" vertical="center"/>
    </xf>
    <xf numFmtId="0" fontId="74" fillId="0" borderId="127" xfId="0" applyFont="1" applyBorder="1" applyAlignment="1">
      <alignment horizontal="left" vertical="center"/>
    </xf>
    <xf numFmtId="0" fontId="74" fillId="0" borderId="123" xfId="0" applyFont="1" applyBorder="1" applyAlignment="1">
      <alignment horizontal="left" vertical="center"/>
    </xf>
    <xf numFmtId="0" fontId="74" fillId="0" borderId="124" xfId="0" applyFont="1" applyBorder="1" applyAlignment="1">
      <alignment horizontal="left" vertical="center"/>
    </xf>
    <xf numFmtId="0" fontId="74" fillId="0" borderId="122" xfId="0" applyFont="1" applyBorder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56" fillId="0" borderId="141" xfId="0" applyFont="1" applyBorder="1" applyAlignment="1">
      <alignment horizontal="left" vertical="center"/>
    </xf>
    <xf numFmtId="0" fontId="56" fillId="0" borderId="102" xfId="0" applyFont="1" applyBorder="1" applyAlignment="1">
      <alignment horizontal="left" vertical="center"/>
    </xf>
    <xf numFmtId="0" fontId="56" fillId="0" borderId="110" xfId="0" applyFont="1" applyBorder="1" applyAlignment="1">
      <alignment horizontal="left" vertical="center"/>
    </xf>
    <xf numFmtId="0" fontId="60" fillId="0" borderId="99" xfId="0" applyFont="1" applyBorder="1" applyAlignment="1">
      <alignment horizontal="center" vertical="center" wrapText="1"/>
    </xf>
    <xf numFmtId="0" fontId="60" fillId="0" borderId="44" xfId="0" applyFont="1" applyBorder="1" applyAlignment="1">
      <alignment horizontal="center" vertical="center" wrapText="1"/>
    </xf>
    <xf numFmtId="0" fontId="60" fillId="0" borderId="45" xfId="0" applyFont="1" applyBorder="1" applyAlignment="1">
      <alignment horizontal="center" vertical="center" wrapText="1"/>
    </xf>
    <xf numFmtId="173" fontId="65" fillId="0" borderId="104" xfId="0" applyNumberFormat="1" applyFont="1" applyBorder="1" applyAlignment="1">
      <alignment horizontal="center" vertical="center"/>
    </xf>
    <xf numFmtId="173" fontId="65" fillId="0" borderId="102" xfId="0" applyNumberFormat="1" applyFont="1" applyBorder="1" applyAlignment="1">
      <alignment horizontal="center" vertical="center"/>
    </xf>
    <xf numFmtId="173" fontId="65" fillId="0" borderId="103" xfId="0" applyNumberFormat="1" applyFont="1" applyBorder="1" applyAlignment="1">
      <alignment horizontal="center" vertical="center"/>
    </xf>
    <xf numFmtId="14" fontId="65" fillId="0" borderId="102" xfId="0" applyNumberFormat="1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1" borderId="57" xfId="0" applyFont="1" applyFill="1" applyBorder="1" applyAlignment="1">
      <alignment horizontal="left" vertical="center"/>
    </xf>
    <xf numFmtId="0" fontId="59" fillId="1" borderId="37" xfId="0" applyFont="1" applyFill="1" applyBorder="1" applyAlignment="1">
      <alignment horizontal="left" vertical="center"/>
    </xf>
    <xf numFmtId="0" fontId="59" fillId="1" borderId="30" xfId="0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164" fontId="35" fillId="18" borderId="0" xfId="0" applyNumberFormat="1" applyFont="1" applyFill="1" applyAlignment="1">
      <alignment horizontal="center"/>
    </xf>
    <xf numFmtId="164" fontId="35" fillId="18" borderId="32" xfId="0" applyNumberFormat="1" applyFont="1" applyFill="1" applyBorder="1" applyAlignment="1">
      <alignment horizontal="center"/>
    </xf>
    <xf numFmtId="0" fontId="78" fillId="0" borderId="111" xfId="0" applyFont="1" applyBorder="1" applyAlignment="1">
      <alignment horizontal="center" vertical="center"/>
    </xf>
    <xf numFmtId="0" fontId="78" fillId="0" borderId="9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112" xfId="0" applyFont="1" applyBorder="1" applyAlignment="1">
      <alignment horizontal="center" vertical="center"/>
    </xf>
    <xf numFmtId="2" fontId="53" fillId="0" borderId="0" xfId="0" applyNumberFormat="1" applyFont="1" applyAlignment="1">
      <alignment horizontal="center" vertical="center"/>
    </xf>
    <xf numFmtId="0" fontId="74" fillId="0" borderId="128" xfId="0" applyFont="1" applyBorder="1" applyAlignment="1">
      <alignment horizontal="left" vertical="center"/>
    </xf>
    <xf numFmtId="14" fontId="74" fillId="0" borderId="95" xfId="0" applyNumberFormat="1" applyFont="1" applyBorder="1" applyAlignment="1">
      <alignment horizontal="center" vertical="center"/>
    </xf>
    <xf numFmtId="14" fontId="74" fillId="0" borderId="96" xfId="0" applyNumberFormat="1" applyFont="1" applyBorder="1" applyAlignment="1">
      <alignment horizontal="center" vertical="center"/>
    </xf>
    <xf numFmtId="14" fontId="74" fillId="0" borderId="97" xfId="0" applyNumberFormat="1" applyFont="1" applyBorder="1" applyAlignment="1">
      <alignment horizontal="center" vertical="center"/>
    </xf>
    <xf numFmtId="14" fontId="74" fillId="0" borderId="16" xfId="0" applyNumberFormat="1" applyFont="1" applyBorder="1" applyAlignment="1">
      <alignment horizontal="center" vertical="center"/>
    </xf>
    <xf numFmtId="14" fontId="74" fillId="0" borderId="0" xfId="0" applyNumberFormat="1" applyFont="1" applyAlignment="1">
      <alignment horizontal="center" vertical="center"/>
    </xf>
    <xf numFmtId="14" fontId="74" fillId="0" borderId="98" xfId="0" applyNumberFormat="1" applyFont="1" applyBorder="1" applyAlignment="1">
      <alignment horizontal="center" vertical="center"/>
    </xf>
    <xf numFmtId="14" fontId="74" fillId="0" borderId="51" xfId="0" applyNumberFormat="1" applyFont="1" applyBorder="1" applyAlignment="1">
      <alignment horizontal="center" vertical="center"/>
    </xf>
    <xf numFmtId="14" fontId="74" fillId="0" borderId="83" xfId="0" applyNumberFormat="1" applyFont="1" applyBorder="1" applyAlignment="1">
      <alignment horizontal="center" vertical="center"/>
    </xf>
    <xf numFmtId="14" fontId="74" fillId="0" borderId="53" xfId="0" applyNumberFormat="1" applyFont="1" applyBorder="1" applyAlignment="1">
      <alignment horizontal="center" vertical="center"/>
    </xf>
    <xf numFmtId="168" fontId="74" fillId="0" borderId="95" xfId="0" applyNumberFormat="1" applyFont="1" applyBorder="1" applyAlignment="1">
      <alignment horizontal="center" vertical="center"/>
    </xf>
    <xf numFmtId="168" fontId="74" fillId="0" borderId="96" xfId="0" applyNumberFormat="1" applyFont="1" applyBorder="1" applyAlignment="1">
      <alignment horizontal="center" vertical="center"/>
    </xf>
    <xf numFmtId="168" fontId="74" fillId="0" borderId="97" xfId="0" applyNumberFormat="1" applyFont="1" applyBorder="1" applyAlignment="1">
      <alignment horizontal="center" vertical="center"/>
    </xf>
    <xf numFmtId="168" fontId="74" fillId="0" borderId="16" xfId="0" applyNumberFormat="1" applyFont="1" applyBorder="1" applyAlignment="1">
      <alignment horizontal="center" vertical="center"/>
    </xf>
    <xf numFmtId="168" fontId="74" fillId="0" borderId="0" xfId="0" applyNumberFormat="1" applyFont="1" applyAlignment="1">
      <alignment horizontal="center" vertical="center"/>
    </xf>
    <xf numFmtId="168" fontId="74" fillId="0" borderId="98" xfId="0" applyNumberFormat="1" applyFont="1" applyBorder="1" applyAlignment="1">
      <alignment horizontal="center" vertical="center"/>
    </xf>
    <xf numFmtId="168" fontId="74" fillId="0" borderId="51" xfId="0" applyNumberFormat="1" applyFont="1" applyBorder="1" applyAlignment="1">
      <alignment horizontal="center" vertical="center"/>
    </xf>
    <xf numFmtId="168" fontId="74" fillId="0" borderId="83" xfId="0" applyNumberFormat="1" applyFont="1" applyBorder="1" applyAlignment="1">
      <alignment horizontal="center" vertical="center"/>
    </xf>
    <xf numFmtId="168" fontId="74" fillId="0" borderId="53" xfId="0" applyNumberFormat="1" applyFont="1" applyBorder="1" applyAlignment="1">
      <alignment horizontal="center" vertical="center"/>
    </xf>
    <xf numFmtId="0" fontId="74" fillId="0" borderId="95" xfId="0" applyFont="1" applyBorder="1" applyAlignment="1">
      <alignment horizontal="left" vertical="center" wrapText="1"/>
    </xf>
    <xf numFmtId="0" fontId="74" fillId="0" borderId="96" xfId="0" applyFont="1" applyBorder="1" applyAlignment="1">
      <alignment horizontal="left" vertical="center" wrapText="1"/>
    </xf>
    <xf numFmtId="0" fontId="74" fillId="0" borderId="97" xfId="0" applyFont="1" applyBorder="1" applyAlignment="1">
      <alignment horizontal="left" vertical="center" wrapText="1"/>
    </xf>
    <xf numFmtId="0" fontId="74" fillId="0" borderId="16" xfId="0" applyFont="1" applyBorder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74" fillId="0" borderId="98" xfId="0" applyFont="1" applyBorder="1" applyAlignment="1">
      <alignment horizontal="left" vertical="center" wrapText="1"/>
    </xf>
    <xf numFmtId="0" fontId="74" fillId="0" borderId="51" xfId="0" applyFont="1" applyBorder="1" applyAlignment="1">
      <alignment horizontal="left" vertical="center" wrapText="1"/>
    </xf>
    <xf numFmtId="0" fontId="74" fillId="0" borderId="83" xfId="0" applyFont="1" applyBorder="1" applyAlignment="1">
      <alignment horizontal="left" vertical="center" wrapText="1"/>
    </xf>
    <xf numFmtId="0" fontId="74" fillId="0" borderId="53" xfId="0" applyFont="1" applyBorder="1" applyAlignment="1">
      <alignment horizontal="left" vertical="center" wrapText="1"/>
    </xf>
    <xf numFmtId="0" fontId="82" fillId="0" borderId="37" xfId="0" applyFont="1" applyBorder="1" applyAlignment="1">
      <alignment horizontal="center" vertical="center"/>
    </xf>
    <xf numFmtId="0" fontId="82" fillId="0" borderId="30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32" xfId="0" applyFont="1" applyBorder="1" applyAlignment="1">
      <alignment horizontal="center" vertical="center"/>
    </xf>
    <xf numFmtId="0" fontId="83" fillId="0" borderId="73" xfId="0" applyFont="1" applyBorder="1" applyAlignment="1">
      <alignment horizontal="center"/>
    </xf>
    <xf numFmtId="0" fontId="83" fillId="0" borderId="25" xfId="0" applyFont="1" applyBorder="1" applyAlignment="1">
      <alignment horizontal="center"/>
    </xf>
    <xf numFmtId="0" fontId="83" fillId="0" borderId="67" xfId="0" applyFont="1" applyBorder="1" applyAlignment="1">
      <alignment horizontal="center"/>
    </xf>
    <xf numFmtId="0" fontId="33" fillId="0" borderId="70" xfId="0" applyFont="1" applyBorder="1" applyAlignment="1">
      <alignment vertical="center"/>
    </xf>
    <xf numFmtId="0" fontId="33" fillId="0" borderId="71" xfId="0" applyFont="1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0" xfId="0" applyBorder="1" applyAlignment="1">
      <alignment vertical="center"/>
    </xf>
    <xf numFmtId="0" fontId="53" fillId="0" borderId="57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69" fillId="0" borderId="37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62" xfId="0" applyFont="1" applyBorder="1" applyAlignment="1">
      <alignment horizontal="center" vertical="center" wrapText="1"/>
    </xf>
    <xf numFmtId="0" fontId="69" fillId="0" borderId="21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56" fillId="0" borderId="73" xfId="0" applyFont="1" applyBorder="1" applyAlignment="1">
      <alignment horizontal="center"/>
    </xf>
    <xf numFmtId="0" fontId="80" fillId="0" borderId="25" xfId="0" applyFont="1" applyBorder="1" applyAlignment="1">
      <alignment horizontal="center"/>
    </xf>
    <xf numFmtId="0" fontId="80" fillId="0" borderId="67" xfId="0" applyFont="1" applyBorder="1" applyAlignment="1">
      <alignment horizontal="center"/>
    </xf>
    <xf numFmtId="0" fontId="34" fillId="0" borderId="57" xfId="0" applyFont="1" applyBorder="1" applyAlignment="1">
      <alignment horizontal="center" vertical="center"/>
    </xf>
    <xf numFmtId="0" fontId="68" fillId="0" borderId="37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68" fillId="0" borderId="70" xfId="0" applyFont="1" applyBorder="1" applyAlignment="1">
      <alignment vertical="center"/>
    </xf>
    <xf numFmtId="0" fontId="68" fillId="0" borderId="71" xfId="0" applyFont="1" applyBorder="1" applyAlignment="1">
      <alignment vertical="center"/>
    </xf>
    <xf numFmtId="0" fontId="0" fillId="0" borderId="71" xfId="0" applyBorder="1"/>
    <xf numFmtId="0" fontId="0" fillId="0" borderId="72" xfId="0" applyBorder="1"/>
    <xf numFmtId="0" fontId="76" fillId="0" borderId="76" xfId="0" applyFont="1" applyBorder="1" applyAlignment="1">
      <alignment horizontal="center" vertical="center"/>
    </xf>
    <xf numFmtId="0" fontId="76" fillId="0" borderId="23" xfId="0" applyFont="1" applyBorder="1" applyAlignment="1">
      <alignment horizontal="center" vertical="center"/>
    </xf>
    <xf numFmtId="0" fontId="76" fillId="0" borderId="77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68" fillId="0" borderId="58" xfId="0" applyFont="1" applyBorder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Alignment="1">
      <alignment vertical="center"/>
    </xf>
    <xf numFmtId="0" fontId="71" fillId="0" borderId="29" xfId="0" applyFont="1" applyBorder="1" applyAlignment="1">
      <alignment horizontal="center" vertical="center" textRotation="90"/>
    </xf>
    <xf numFmtId="0" fontId="71" fillId="0" borderId="31" xfId="0" applyFont="1" applyBorder="1" applyAlignment="1">
      <alignment horizontal="center" vertical="center" textRotation="90"/>
    </xf>
    <xf numFmtId="0" fontId="76" fillId="0" borderId="0" xfId="0" applyFont="1" applyAlignment="1">
      <alignment horizontal="center" vertical="center"/>
    </xf>
    <xf numFmtId="0" fontId="71" fillId="0" borderId="30" xfId="0" applyFont="1" applyBorder="1" applyAlignment="1">
      <alignment horizontal="center" vertical="center" textRotation="90"/>
    </xf>
    <xf numFmtId="0" fontId="71" fillId="0" borderId="26" xfId="0" applyFont="1" applyBorder="1" applyAlignment="1">
      <alignment horizontal="center" vertical="center" textRotation="90"/>
    </xf>
    <xf numFmtId="0" fontId="68" fillId="0" borderId="62" xfId="0" applyFont="1" applyBorder="1" applyAlignment="1">
      <alignment horizontal="left" vertical="center"/>
    </xf>
    <xf numFmtId="0" fontId="68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8" fillId="0" borderId="70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2" xfId="0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 textRotation="90"/>
    </xf>
    <xf numFmtId="0" fontId="76" fillId="0" borderId="63" xfId="0" applyFont="1" applyBorder="1" applyAlignment="1">
      <alignment horizontal="center" vertical="center"/>
    </xf>
    <xf numFmtId="0" fontId="68" fillId="0" borderId="57" xfId="0" applyFont="1" applyBorder="1" applyAlignment="1">
      <alignment horizontal="center" vertical="center" wrapText="1"/>
    </xf>
    <xf numFmtId="0" fontId="68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5" fillId="0" borderId="68" xfId="0" applyFont="1" applyBorder="1" applyAlignment="1">
      <alignment horizontal="center" vertical="center"/>
    </xf>
    <xf numFmtId="166" fontId="35" fillId="0" borderId="68" xfId="0" applyNumberFormat="1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95" fillId="0" borderId="23" xfId="0" applyFont="1" applyBorder="1" applyAlignment="1">
      <alignment horizontal="left" vertical="center"/>
    </xf>
    <xf numFmtId="0" fontId="95" fillId="0" borderId="46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34" fillId="0" borderId="73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4" fillId="0" borderId="89" xfId="0" applyFont="1" applyBorder="1" applyAlignment="1">
      <alignment horizontal="left" vertical="center"/>
    </xf>
    <xf numFmtId="0" fontId="34" fillId="0" borderId="83" xfId="0" applyFont="1" applyBorder="1" applyAlignment="1">
      <alignment horizontal="left" vertical="center"/>
    </xf>
    <xf numFmtId="0" fontId="73" fillId="0" borderId="47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0" fontId="73" fillId="0" borderId="14" xfId="0" applyFont="1" applyBorder="1" applyAlignment="1">
      <alignment horizontal="center" vertical="center"/>
    </xf>
    <xf numFmtId="0" fontId="66" fillId="0" borderId="57" xfId="0" applyFont="1" applyBorder="1" applyAlignment="1">
      <alignment horizontal="center" vertical="center"/>
    </xf>
    <xf numFmtId="0" fontId="66" fillId="0" borderId="37" xfId="0" applyFont="1" applyBorder="1" applyAlignment="1">
      <alignment horizontal="center" vertical="center"/>
    </xf>
    <xf numFmtId="0" fontId="66" fillId="0" borderId="30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21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/>
    </xf>
    <xf numFmtId="167" fontId="35" fillId="0" borderId="68" xfId="0" applyNumberFormat="1" applyFont="1" applyBorder="1" applyAlignment="1">
      <alignment horizontal="center" vertical="center"/>
    </xf>
    <xf numFmtId="0" fontId="63" fillId="15" borderId="45" xfId="0" applyFont="1" applyFill="1" applyBorder="1" applyAlignment="1">
      <alignment horizontal="center" vertical="center" textRotation="90"/>
    </xf>
    <xf numFmtId="0" fontId="63" fillId="15" borderId="39" xfId="0" applyFont="1" applyFill="1" applyBorder="1" applyAlignment="1">
      <alignment horizontal="center" vertical="center" textRotation="90"/>
    </xf>
    <xf numFmtId="0" fontId="63" fillId="15" borderId="24" xfId="0" applyFont="1" applyFill="1" applyBorder="1" applyAlignment="1">
      <alignment horizontal="center" vertical="center" textRotation="87"/>
    </xf>
    <xf numFmtId="0" fontId="63" fillId="15" borderId="60" xfId="0" applyFont="1" applyFill="1" applyBorder="1" applyAlignment="1">
      <alignment horizontal="center" vertical="center" textRotation="87"/>
    </xf>
    <xf numFmtId="0" fontId="65" fillId="0" borderId="68" xfId="0" applyFont="1" applyBorder="1" applyAlignment="1">
      <alignment vertical="center"/>
    </xf>
    <xf numFmtId="0" fontId="65" fillId="0" borderId="69" xfId="0" applyFont="1" applyBorder="1" applyAlignment="1">
      <alignment horizontal="center" vertical="center"/>
    </xf>
    <xf numFmtId="0" fontId="34" fillId="0" borderId="15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56" fillId="0" borderId="70" xfId="0" applyFont="1" applyBorder="1" applyAlignment="1">
      <alignment horizontal="center" vertical="center"/>
    </xf>
    <xf numFmtId="0" fontId="56" fillId="0" borderId="71" xfId="0" applyFont="1" applyBorder="1" applyAlignment="1">
      <alignment horizontal="center" vertical="center"/>
    </xf>
    <xf numFmtId="16" fontId="35" fillId="0" borderId="71" xfId="0" applyNumberFormat="1" applyFont="1" applyBorder="1" applyAlignment="1">
      <alignment horizontal="center" vertical="center"/>
    </xf>
    <xf numFmtId="16" fontId="35" fillId="0" borderId="72" xfId="0" applyNumberFormat="1" applyFont="1" applyBorder="1" applyAlignment="1">
      <alignment horizontal="center" vertical="center"/>
    </xf>
    <xf numFmtId="0" fontId="64" fillId="0" borderId="63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/>
    </xf>
    <xf numFmtId="0" fontId="102" fillId="0" borderId="23" xfId="0" applyFont="1" applyBorder="1" applyAlignment="1">
      <alignment horizontal="left" vertical="center"/>
    </xf>
    <xf numFmtId="0" fontId="102" fillId="0" borderId="46" xfId="0" applyFont="1" applyBorder="1" applyAlignment="1">
      <alignment horizontal="left" vertical="center"/>
    </xf>
    <xf numFmtId="0" fontId="78" fillId="0" borderId="109" xfId="0" applyFont="1" applyBorder="1" applyAlignment="1">
      <alignment horizontal="left" vertical="center"/>
    </xf>
    <xf numFmtId="0" fontId="78" fillId="0" borderId="102" xfId="0" applyFont="1" applyBorder="1" applyAlignment="1">
      <alignment horizontal="left" vertical="center"/>
    </xf>
    <xf numFmtId="0" fontId="78" fillId="0" borderId="103" xfId="0" applyFont="1" applyBorder="1" applyAlignment="1">
      <alignment horizontal="left" vertical="center"/>
    </xf>
    <xf numFmtId="0" fontId="76" fillId="0" borderId="104" xfId="0" applyFont="1" applyBorder="1" applyAlignment="1">
      <alignment horizontal="left" vertical="center"/>
    </xf>
    <xf numFmtId="0" fontId="76" fillId="0" borderId="102" xfId="0" applyFont="1" applyBorder="1" applyAlignment="1">
      <alignment horizontal="left" vertical="center"/>
    </xf>
    <xf numFmtId="0" fontId="76" fillId="0" borderId="110" xfId="0" applyFont="1" applyBorder="1" applyAlignment="1">
      <alignment horizontal="left" vertical="center"/>
    </xf>
    <xf numFmtId="167" fontId="84" fillId="16" borderId="100" xfId="0" applyNumberFormat="1" applyFont="1" applyFill="1" applyBorder="1" applyAlignment="1">
      <alignment horizontal="left" vertical="center"/>
    </xf>
    <xf numFmtId="167" fontId="84" fillId="16" borderId="132" xfId="0" applyNumberFormat="1" applyFont="1" applyFill="1" applyBorder="1" applyAlignment="1">
      <alignment horizontal="left" vertical="center"/>
    </xf>
    <xf numFmtId="169" fontId="84" fillId="16" borderId="132" xfId="0" applyNumberFormat="1" applyFont="1" applyFill="1" applyBorder="1" applyAlignment="1">
      <alignment horizontal="left" vertical="center"/>
    </xf>
    <xf numFmtId="0" fontId="65" fillId="0" borderId="83" xfId="0" applyFont="1" applyBorder="1" applyAlignment="1">
      <alignment horizontal="left" vertical="center"/>
    </xf>
    <xf numFmtId="0" fontId="65" fillId="0" borderId="53" xfId="0" applyFont="1" applyBorder="1" applyAlignment="1">
      <alignment horizontal="left" vertical="center"/>
    </xf>
    <xf numFmtId="173" fontId="65" fillId="0" borderId="174" xfId="0" applyNumberFormat="1" applyFont="1" applyBorder="1" applyAlignment="1">
      <alignment horizontal="center" vertical="center"/>
    </xf>
    <xf numFmtId="173" fontId="65" fillId="0" borderId="180" xfId="0" applyNumberFormat="1" applyFont="1" applyBorder="1" applyAlignment="1">
      <alignment horizontal="center" vertical="center"/>
    </xf>
    <xf numFmtId="14" fontId="65" fillId="0" borderId="180" xfId="0" applyNumberFormat="1" applyFont="1" applyBorder="1" applyAlignment="1">
      <alignment horizontal="center" vertical="center"/>
    </xf>
    <xf numFmtId="173" fontId="65" fillId="0" borderId="181" xfId="0" applyNumberFormat="1" applyFont="1" applyBorder="1" applyAlignment="1">
      <alignment horizontal="center" vertical="center"/>
    </xf>
    <xf numFmtId="0" fontId="65" fillId="0" borderId="174" xfId="0" applyFont="1" applyBorder="1" applyAlignment="1">
      <alignment horizontal="center" vertical="center"/>
    </xf>
    <xf numFmtId="0" fontId="65" fillId="0" borderId="180" xfId="0" applyFont="1" applyBorder="1" applyAlignment="1">
      <alignment horizontal="center" vertical="center"/>
    </xf>
    <xf numFmtId="0" fontId="65" fillId="0" borderId="181" xfId="0" applyFont="1" applyBorder="1" applyAlignment="1">
      <alignment horizontal="center" vertical="center"/>
    </xf>
    <xf numFmtId="0" fontId="60" fillId="0" borderId="120" xfId="0" applyFont="1" applyBorder="1" applyAlignment="1">
      <alignment horizontal="center" vertical="center" wrapText="1"/>
    </xf>
    <xf numFmtId="0" fontId="60" fillId="0" borderId="23" xfId="0" applyFont="1" applyBorder="1" applyAlignment="1">
      <alignment horizontal="center" vertical="center" wrapText="1"/>
    </xf>
    <xf numFmtId="0" fontId="60" fillId="0" borderId="24" xfId="0" applyFont="1" applyBorder="1" applyAlignment="1">
      <alignment horizontal="center" vertical="center" wrapText="1"/>
    </xf>
    <xf numFmtId="0" fontId="59" fillId="0" borderId="58" xfId="0" applyFont="1" applyBorder="1" applyAlignment="1">
      <alignment horizontal="center" vertical="center"/>
    </xf>
    <xf numFmtId="0" fontId="56" fillId="0" borderId="182" xfId="0" applyFont="1" applyBorder="1" applyAlignment="1">
      <alignment horizontal="left" vertical="center"/>
    </xf>
    <xf numFmtId="0" fontId="56" fillId="0" borderId="180" xfId="0" applyFont="1" applyBorder="1" applyAlignment="1">
      <alignment horizontal="left" vertical="center"/>
    </xf>
    <xf numFmtId="0" fontId="56" fillId="0" borderId="190" xfId="0" applyFont="1" applyBorder="1" applyAlignment="1">
      <alignment horizontal="left" vertical="center"/>
    </xf>
    <xf numFmtId="0" fontId="74" fillId="0" borderId="189" xfId="0" applyFont="1" applyBorder="1" applyAlignment="1">
      <alignment horizontal="left" vertical="center"/>
    </xf>
    <xf numFmtId="0" fontId="74" fillId="0" borderId="190" xfId="0" applyFont="1" applyBorder="1" applyAlignment="1">
      <alignment horizontal="left" vertical="center"/>
    </xf>
    <xf numFmtId="0" fontId="74" fillId="0" borderId="174" xfId="0" applyFont="1" applyBorder="1" applyAlignment="1">
      <alignment horizontal="left" vertical="center"/>
    </xf>
    <xf numFmtId="0" fontId="74" fillId="0" borderId="166" xfId="0" applyFont="1" applyBorder="1" applyAlignment="1">
      <alignment horizontal="left" vertical="center"/>
    </xf>
    <xf numFmtId="0" fontId="74" fillId="0" borderId="168" xfId="0" applyFont="1" applyBorder="1" applyAlignment="1">
      <alignment horizontal="left" vertical="center"/>
    </xf>
    <xf numFmtId="0" fontId="74" fillId="0" borderId="156" xfId="0" applyFont="1" applyBorder="1" applyAlignment="1">
      <alignment horizontal="left" vertical="center"/>
    </xf>
    <xf numFmtId="0" fontId="65" fillId="0" borderId="189" xfId="0" applyFont="1" applyBorder="1" applyAlignment="1">
      <alignment horizontal="center" vertical="center"/>
    </xf>
    <xf numFmtId="0" fontId="65" fillId="0" borderId="190" xfId="0" applyFont="1" applyBorder="1" applyAlignment="1">
      <alignment horizontal="center" vertical="center"/>
    </xf>
    <xf numFmtId="167" fontId="84" fillId="16" borderId="166" xfId="0" applyNumberFormat="1" applyFont="1" applyFill="1" applyBorder="1" applyAlignment="1">
      <alignment horizontal="center" vertical="center"/>
    </xf>
    <xf numFmtId="167" fontId="84" fillId="16" borderId="123" xfId="0" applyNumberFormat="1" applyFont="1" applyFill="1" applyBorder="1" applyAlignment="1">
      <alignment horizontal="center" vertical="center"/>
    </xf>
    <xf numFmtId="167" fontId="84" fillId="16" borderId="171" xfId="0" applyNumberFormat="1" applyFont="1" applyFill="1" applyBorder="1" applyAlignment="1">
      <alignment horizontal="center" vertical="center"/>
    </xf>
    <xf numFmtId="169" fontId="84" fillId="16" borderId="170" xfId="0" applyNumberFormat="1" applyFont="1" applyFill="1" applyBorder="1" applyAlignment="1">
      <alignment horizontal="center" vertical="center"/>
    </xf>
    <xf numFmtId="169" fontId="84" fillId="16" borderId="123" xfId="0" applyNumberFormat="1" applyFont="1" applyFill="1" applyBorder="1" applyAlignment="1">
      <alignment horizontal="center" vertical="center"/>
    </xf>
    <xf numFmtId="169" fontId="84" fillId="16" borderId="171" xfId="0" applyNumberFormat="1" applyFont="1" applyFill="1" applyBorder="1" applyAlignment="1">
      <alignment horizontal="center" vertical="center"/>
    </xf>
    <xf numFmtId="20" fontId="84" fillId="16" borderId="170" xfId="0" applyNumberFormat="1" applyFont="1" applyFill="1" applyBorder="1" applyAlignment="1">
      <alignment horizontal="left" vertical="center"/>
    </xf>
    <xf numFmtId="20" fontId="84" fillId="16" borderId="123" xfId="0" applyNumberFormat="1" applyFont="1" applyFill="1" applyBorder="1" applyAlignment="1">
      <alignment horizontal="left" vertical="center"/>
    </xf>
    <xf numFmtId="20" fontId="84" fillId="16" borderId="171" xfId="0" applyNumberFormat="1" applyFont="1" applyFill="1" applyBorder="1" applyAlignment="1">
      <alignment horizontal="left" vertical="center"/>
    </xf>
    <xf numFmtId="0" fontId="34" fillId="1" borderId="71" xfId="0" applyFont="1" applyFill="1" applyBorder="1" applyAlignment="1">
      <alignment horizontal="left" vertical="center"/>
    </xf>
    <xf numFmtId="14" fontId="34" fillId="1" borderId="71" xfId="0" applyNumberFormat="1" applyFont="1" applyFill="1" applyBorder="1" applyAlignment="1">
      <alignment horizontal="left" vertical="center"/>
    </xf>
    <xf numFmtId="0" fontId="67" fillId="1" borderId="71" xfId="0" applyFont="1" applyFill="1" applyBorder="1" applyAlignment="1">
      <alignment horizontal="left" vertical="center"/>
    </xf>
    <xf numFmtId="172" fontId="67" fillId="1" borderId="71" xfId="0" applyNumberFormat="1" applyFont="1" applyFill="1" applyBorder="1" applyAlignment="1">
      <alignment horizontal="center" vertical="center"/>
    </xf>
    <xf numFmtId="172" fontId="67" fillId="1" borderId="72" xfId="0" applyNumberFormat="1" applyFont="1" applyFill="1" applyBorder="1" applyAlignment="1">
      <alignment horizontal="center" vertical="center"/>
    </xf>
    <xf numFmtId="0" fontId="33" fillId="0" borderId="102" xfId="0" applyFont="1" applyBorder="1" applyAlignment="1">
      <alignment horizontal="left" vertical="center"/>
    </xf>
    <xf numFmtId="20" fontId="65" fillId="0" borderId="68" xfId="0" applyNumberFormat="1" applyFont="1" applyBorder="1" applyAlignment="1">
      <alignment horizontal="center" vertical="center"/>
    </xf>
    <xf numFmtId="0" fontId="95" fillId="0" borderId="23" xfId="0" applyFont="1" applyBorder="1" applyAlignment="1">
      <alignment horizontal="center" vertical="center"/>
    </xf>
    <xf numFmtId="0" fontId="95" fillId="0" borderId="46" xfId="0" applyFont="1" applyBorder="1" applyAlignment="1">
      <alignment horizontal="center" vertical="center"/>
    </xf>
    <xf numFmtId="0" fontId="102" fillId="0" borderId="23" xfId="0" applyFont="1" applyBorder="1" applyAlignment="1">
      <alignment horizontal="center" vertical="center"/>
    </xf>
    <xf numFmtId="0" fontId="102" fillId="0" borderId="46" xfId="0" applyFont="1" applyBorder="1" applyAlignment="1">
      <alignment horizontal="center" vertical="center"/>
    </xf>
    <xf numFmtId="0" fontId="67" fillId="0" borderId="71" xfId="0" applyFont="1" applyBorder="1" applyAlignment="1">
      <alignment horizontal="left" vertical="center"/>
    </xf>
    <xf numFmtId="0" fontId="67" fillId="0" borderId="72" xfId="0" applyFont="1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73" fillId="0" borderId="47" xfId="0" applyFont="1" applyBorder="1" applyAlignment="1">
      <alignment horizontal="left" vertical="center"/>
    </xf>
    <xf numFmtId="0" fontId="73" fillId="0" borderId="25" xfId="0" applyFont="1" applyBorder="1" applyAlignment="1">
      <alignment horizontal="left" vertical="center"/>
    </xf>
    <xf numFmtId="0" fontId="52" fillId="0" borderId="104" xfId="0" applyFont="1" applyBorder="1" applyAlignment="1">
      <alignment horizontal="center" vertical="center"/>
    </xf>
    <xf numFmtId="0" fontId="52" fillId="0" borderId="102" xfId="0" applyFont="1" applyBorder="1" applyAlignment="1">
      <alignment horizontal="center" vertical="center"/>
    </xf>
    <xf numFmtId="0" fontId="52" fillId="0" borderId="110" xfId="0" applyFont="1" applyBorder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35" fillId="0" borderId="82" xfId="0" applyFont="1" applyBorder="1" applyAlignment="1">
      <alignment horizontal="center" vertical="center"/>
    </xf>
    <xf numFmtId="20" fontId="74" fillId="16" borderId="133" xfId="0" applyNumberFormat="1" applyFont="1" applyFill="1" applyBorder="1" applyAlignment="1">
      <alignment horizontal="left" vertical="center"/>
    </xf>
    <xf numFmtId="0" fontId="74" fillId="16" borderId="123" xfId="0" applyFont="1" applyFill="1" applyBorder="1" applyAlignment="1">
      <alignment horizontal="left" vertical="center"/>
    </xf>
    <xf numFmtId="0" fontId="74" fillId="16" borderId="134" xfId="0" applyFont="1" applyFill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65" fillId="0" borderId="92" xfId="0" applyFont="1" applyBorder="1" applyAlignment="1">
      <alignment horizontal="left" vertical="center"/>
    </xf>
    <xf numFmtId="0" fontId="52" fillId="0" borderId="104" xfId="0" applyFont="1" applyBorder="1" applyAlignment="1">
      <alignment horizontal="left" vertical="center"/>
    </xf>
    <xf numFmtId="0" fontId="52" fillId="0" borderId="102" xfId="0" applyFont="1" applyBorder="1" applyAlignment="1">
      <alignment horizontal="left" vertical="center"/>
    </xf>
    <xf numFmtId="0" fontId="52" fillId="0" borderId="110" xfId="0" applyFont="1" applyBorder="1" applyAlignment="1">
      <alignment horizontal="left" vertical="center"/>
    </xf>
    <xf numFmtId="20" fontId="65" fillId="0" borderId="68" xfId="0" applyNumberFormat="1" applyFont="1" applyBorder="1" applyAlignment="1">
      <alignment horizontal="left" vertical="center"/>
    </xf>
    <xf numFmtId="0" fontId="65" fillId="0" borderId="68" xfId="0" applyFont="1" applyBorder="1" applyAlignment="1">
      <alignment horizontal="left" vertical="center"/>
    </xf>
    <xf numFmtId="0" fontId="65" fillId="0" borderId="187" xfId="0" applyFont="1" applyBorder="1" applyAlignment="1">
      <alignment horizontal="center" vertical="center"/>
    </xf>
    <xf numFmtId="0" fontId="65" fillId="0" borderId="175" xfId="0" applyFont="1" applyBorder="1" applyAlignment="1">
      <alignment horizontal="center" vertical="center"/>
    </xf>
    <xf numFmtId="0" fontId="65" fillId="0" borderId="186" xfId="0" applyFont="1" applyBorder="1" applyAlignment="1">
      <alignment horizontal="center" vertical="center"/>
    </xf>
    <xf numFmtId="0" fontId="60" fillId="0" borderId="154" xfId="0" applyFont="1" applyBorder="1" applyAlignment="1">
      <alignment horizontal="center" vertical="center" wrapText="1"/>
    </xf>
    <xf numFmtId="0" fontId="60" fillId="0" borderId="155" xfId="0" applyFont="1" applyBorder="1" applyAlignment="1">
      <alignment horizontal="center" vertical="center" wrapText="1"/>
    </xf>
    <xf numFmtId="0" fontId="53" fillId="0" borderId="182" xfId="0" applyFont="1" applyBorder="1" applyAlignment="1">
      <alignment horizontal="left" vertical="center"/>
    </xf>
    <xf numFmtId="0" fontId="53" fillId="0" borderId="180" xfId="0" applyFont="1" applyBorder="1" applyAlignment="1">
      <alignment horizontal="left" vertical="center"/>
    </xf>
    <xf numFmtId="0" fontId="53" fillId="0" borderId="190" xfId="0" applyFont="1" applyBorder="1" applyAlignment="1">
      <alignment horizontal="left" vertical="center"/>
    </xf>
    <xf numFmtId="0" fontId="74" fillId="0" borderId="179" xfId="0" applyFont="1" applyBorder="1" applyAlignment="1">
      <alignment horizontal="left" vertical="center"/>
    </xf>
    <xf numFmtId="0" fontId="74" fillId="0" borderId="187" xfId="0" applyFont="1" applyBorder="1" applyAlignment="1">
      <alignment horizontal="left" vertical="center"/>
    </xf>
    <xf numFmtId="0" fontId="74" fillId="0" borderId="175" xfId="0" applyFont="1" applyBorder="1" applyAlignment="1">
      <alignment horizontal="left" vertical="center"/>
    </xf>
    <xf numFmtId="0" fontId="74" fillId="0" borderId="191" xfId="0" applyFont="1" applyBorder="1" applyAlignment="1">
      <alignment horizontal="left" vertical="center"/>
    </xf>
    <xf numFmtId="0" fontId="74" fillId="0" borderId="176" xfId="0" applyFont="1" applyBorder="1" applyAlignment="1">
      <alignment horizontal="left" vertical="center"/>
    </xf>
    <xf numFmtId="0" fontId="74" fillId="0" borderId="186" xfId="0" applyFont="1" applyBorder="1" applyAlignment="1">
      <alignment horizontal="left" vertical="center"/>
    </xf>
    <xf numFmtId="0" fontId="74" fillId="0" borderId="167" xfId="0" applyFont="1" applyBorder="1" applyAlignment="1">
      <alignment horizontal="left" vertical="center"/>
    </xf>
    <xf numFmtId="0" fontId="74" fillId="0" borderId="188" xfId="0" applyFont="1" applyBorder="1" applyAlignment="1">
      <alignment horizontal="left" vertical="center"/>
    </xf>
    <xf numFmtId="167" fontId="84" fillId="16" borderId="185" xfId="0" applyNumberFormat="1" applyFont="1" applyFill="1" applyBorder="1" applyAlignment="1">
      <alignment horizontal="center" vertical="center"/>
    </xf>
    <xf numFmtId="167" fontId="84" fillId="16" borderId="173" xfId="0" applyNumberFormat="1" applyFont="1" applyFill="1" applyBorder="1" applyAlignment="1">
      <alignment horizontal="center" vertical="center"/>
    </xf>
    <xf numFmtId="169" fontId="84" fillId="16" borderId="173" xfId="0" applyNumberFormat="1" applyFont="1" applyFill="1" applyBorder="1" applyAlignment="1">
      <alignment horizontal="center" vertical="center"/>
    </xf>
    <xf numFmtId="20" fontId="84" fillId="16" borderId="169" xfId="0" applyNumberFormat="1" applyFont="1" applyFill="1" applyBorder="1" applyAlignment="1">
      <alignment horizontal="left" vertical="center"/>
    </xf>
    <xf numFmtId="0" fontId="84" fillId="16" borderId="163" xfId="0" applyFont="1" applyFill="1" applyBorder="1" applyAlignment="1">
      <alignment horizontal="left" vertical="center"/>
    </xf>
    <xf numFmtId="0" fontId="84" fillId="16" borderId="162" xfId="0" applyFont="1" applyFill="1" applyBorder="1" applyAlignment="1">
      <alignment horizontal="left" vertical="center"/>
    </xf>
    <xf numFmtId="20" fontId="84" fillId="17" borderId="184" xfId="36" applyNumberFormat="1" applyFont="1" applyFill="1" applyBorder="1" applyAlignment="1">
      <alignment horizontal="left" vertical="center"/>
    </xf>
    <xf numFmtId="0" fontId="84" fillId="17" borderId="184" xfId="36" applyFont="1" applyFill="1" applyBorder="1" applyAlignment="1">
      <alignment horizontal="left" vertical="center"/>
    </xf>
    <xf numFmtId="0" fontId="84" fillId="17" borderId="183" xfId="36" applyFont="1" applyFill="1" applyBorder="1" applyAlignment="1">
      <alignment horizontal="left" vertical="center"/>
    </xf>
    <xf numFmtId="0" fontId="59" fillId="1" borderId="157" xfId="0" applyFont="1" applyFill="1" applyBorder="1" applyAlignment="1">
      <alignment horizontal="left" vertical="center"/>
    </xf>
    <xf numFmtId="0" fontId="59" fillId="1" borderId="158" xfId="0" applyFont="1" applyFill="1" applyBorder="1" applyAlignment="1">
      <alignment horizontal="left" vertical="center"/>
    </xf>
    <xf numFmtId="2" fontId="76" fillId="0" borderId="200" xfId="0" applyNumberFormat="1" applyFont="1" applyBorder="1" applyAlignment="1">
      <alignment horizontal="center" vertical="center"/>
    </xf>
    <xf numFmtId="2" fontId="76" fillId="0" borderId="201" xfId="0" applyNumberFormat="1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74" fillId="0" borderId="82" xfId="0" applyFont="1" applyBorder="1" applyAlignment="1">
      <alignment horizontal="center" vertical="center"/>
    </xf>
    <xf numFmtId="2" fontId="76" fillId="0" borderId="199" xfId="0" applyNumberFormat="1" applyFont="1" applyBorder="1" applyAlignment="1">
      <alignment horizontal="center" vertical="center"/>
    </xf>
    <xf numFmtId="0" fontId="35" fillId="0" borderId="81" xfId="0" applyFont="1" applyBorder="1" applyAlignment="1">
      <alignment horizontal="left"/>
    </xf>
    <xf numFmtId="164" fontId="35" fillId="22" borderId="0" xfId="0" applyNumberFormat="1" applyFont="1" applyFill="1" applyAlignment="1">
      <alignment horizontal="center"/>
    </xf>
    <xf numFmtId="164" fontId="35" fillId="22" borderId="82" xfId="0" applyNumberFormat="1" applyFont="1" applyFill="1" applyBorder="1" applyAlignment="1">
      <alignment horizontal="center"/>
    </xf>
    <xf numFmtId="0" fontId="74" fillId="0" borderId="159" xfId="0" applyFont="1" applyBorder="1" applyAlignment="1">
      <alignment horizontal="left" vertical="center" wrapText="1"/>
    </xf>
    <xf numFmtId="0" fontId="74" fillId="0" borderId="160" xfId="0" applyFont="1" applyBorder="1" applyAlignment="1">
      <alignment horizontal="left" vertical="center"/>
    </xf>
    <xf numFmtId="1" fontId="35" fillId="22" borderId="0" xfId="0" applyNumberFormat="1" applyFont="1" applyFill="1" applyAlignment="1">
      <alignment horizontal="center" vertical="center"/>
    </xf>
    <xf numFmtId="0" fontId="35" fillId="22" borderId="0" xfId="0" applyFont="1" applyFill="1" applyAlignment="1">
      <alignment horizontal="center" vertical="center"/>
    </xf>
    <xf numFmtId="0" fontId="65" fillId="0" borderId="166" xfId="0" applyFont="1" applyBorder="1" applyAlignment="1">
      <alignment horizontal="center" vertical="center"/>
    </xf>
    <xf numFmtId="0" fontId="65" fillId="0" borderId="167" xfId="0" applyFont="1" applyBorder="1" applyAlignment="1">
      <alignment horizontal="center" vertical="center"/>
    </xf>
    <xf numFmtId="0" fontId="65" fillId="0" borderId="171" xfId="0" applyFont="1" applyBorder="1" applyAlignment="1">
      <alignment horizontal="center" vertical="center"/>
    </xf>
    <xf numFmtId="0" fontId="65" fillId="0" borderId="170" xfId="0" applyFont="1" applyBorder="1" applyAlignment="1">
      <alignment horizontal="left" vertical="center"/>
    </xf>
    <xf numFmtId="0" fontId="65" fillId="0" borderId="167" xfId="0" applyFont="1" applyBorder="1" applyAlignment="1">
      <alignment horizontal="left" vertical="center"/>
    </xf>
    <xf numFmtId="0" fontId="65" fillId="0" borderId="171" xfId="0" applyFont="1" applyBorder="1" applyAlignment="1">
      <alignment horizontal="left" vertical="center"/>
    </xf>
    <xf numFmtId="0" fontId="65" fillId="0" borderId="170" xfId="0" applyFont="1" applyBorder="1" applyAlignment="1">
      <alignment horizontal="center" vertical="center"/>
    </xf>
    <xf numFmtId="0" fontId="53" fillId="0" borderId="170" xfId="0" applyFont="1" applyBorder="1" applyAlignment="1">
      <alignment horizontal="center" vertical="center"/>
    </xf>
    <xf numFmtId="0" fontId="53" fillId="0" borderId="167" xfId="0" applyFont="1" applyBorder="1" applyAlignment="1">
      <alignment horizontal="center" vertical="center"/>
    </xf>
    <xf numFmtId="0" fontId="53" fillId="0" borderId="168" xfId="0" applyFont="1" applyBorder="1" applyAlignment="1">
      <alignment horizontal="center" vertical="center"/>
    </xf>
    <xf numFmtId="0" fontId="88" fillId="0" borderId="0" xfId="13" applyFont="1" applyBorder="1" applyAlignment="1" applyProtection="1">
      <alignment horizontal="left"/>
    </xf>
    <xf numFmtId="0" fontId="88" fillId="0" borderId="0" xfId="13" applyFont="1" applyBorder="1" applyAlignment="1" applyProtection="1">
      <alignment horizontal="center" vertical="center"/>
    </xf>
    <xf numFmtId="0" fontId="33" fillId="0" borderId="0" xfId="0" applyFont="1" applyAlignment="1">
      <alignment horizontal="right" vertical="center"/>
    </xf>
    <xf numFmtId="0" fontId="34" fillId="0" borderId="70" xfId="0" applyFont="1" applyBorder="1" applyAlignment="1">
      <alignment horizontal="left" vertical="center"/>
    </xf>
    <xf numFmtId="0" fontId="34" fillId="0" borderId="71" xfId="0" applyFont="1" applyBorder="1" applyAlignment="1">
      <alignment horizontal="left" vertical="center"/>
    </xf>
    <xf numFmtId="0" fontId="34" fillId="0" borderId="63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166" xfId="0" applyFont="1" applyBorder="1" applyAlignment="1">
      <alignment horizontal="left" vertical="center"/>
    </xf>
    <xf numFmtId="0" fontId="34" fillId="0" borderId="167" xfId="0" applyFont="1" applyBorder="1" applyAlignment="1">
      <alignment horizontal="left" vertical="center"/>
    </xf>
    <xf numFmtId="0" fontId="75" fillId="0" borderId="63" xfId="0" applyFont="1" applyBorder="1" applyAlignment="1">
      <alignment horizontal="left"/>
    </xf>
    <xf numFmtId="0" fontId="75" fillId="0" borderId="23" xfId="0" applyFont="1" applyBorder="1" applyAlignment="1">
      <alignment horizontal="left"/>
    </xf>
    <xf numFmtId="0" fontId="75" fillId="0" borderId="121" xfId="0" applyFont="1" applyBorder="1" applyAlignment="1">
      <alignment horizontal="left"/>
    </xf>
    <xf numFmtId="0" fontId="75" fillId="0" borderId="166" xfId="0" applyFont="1" applyBorder="1" applyAlignment="1">
      <alignment horizontal="left"/>
    </xf>
    <xf numFmtId="0" fontId="75" fillId="0" borderId="167" xfId="0" applyFont="1" applyBorder="1" applyAlignment="1">
      <alignment horizontal="left"/>
    </xf>
    <xf numFmtId="0" fontId="75" fillId="0" borderId="168" xfId="0" applyFont="1" applyBorder="1" applyAlignment="1">
      <alignment horizontal="left"/>
    </xf>
    <xf numFmtId="2" fontId="67" fillId="0" borderId="71" xfId="0" applyNumberFormat="1" applyFont="1" applyBorder="1" applyAlignment="1">
      <alignment horizontal="left" vertical="center"/>
    </xf>
    <xf numFmtId="2" fontId="76" fillId="0" borderId="71" xfId="0" applyNumberFormat="1" applyFont="1" applyBorder="1" applyAlignment="1">
      <alignment horizontal="left" vertical="center"/>
    </xf>
    <xf numFmtId="0" fontId="76" fillId="0" borderId="71" xfId="0" applyFont="1" applyBorder="1" applyAlignment="1">
      <alignment horizontal="left" vertical="center"/>
    </xf>
    <xf numFmtId="0" fontId="76" fillId="0" borderId="72" xfId="0" applyFont="1" applyBorder="1" applyAlignment="1">
      <alignment horizontal="left" vertical="center"/>
    </xf>
    <xf numFmtId="0" fontId="69" fillId="0" borderId="129" xfId="0" applyFont="1" applyBorder="1" applyAlignment="1">
      <alignment horizontal="center" vertical="center" wrapText="1"/>
    </xf>
    <xf numFmtId="0" fontId="69" fillId="0" borderId="142" xfId="0" applyFont="1" applyBorder="1" applyAlignment="1">
      <alignment horizontal="center" vertical="center" wrapText="1"/>
    </xf>
    <xf numFmtId="0" fontId="34" fillId="0" borderId="121" xfId="0" applyFont="1" applyBorder="1" applyAlignment="1">
      <alignment horizontal="center" vertical="center"/>
    </xf>
    <xf numFmtId="0" fontId="53" fillId="0" borderId="166" xfId="0" applyFont="1" applyBorder="1" applyAlignment="1">
      <alignment horizontal="center"/>
    </xf>
    <xf numFmtId="0" fontId="69" fillId="0" borderId="167" xfId="0" applyFont="1" applyBorder="1" applyAlignment="1">
      <alignment horizontal="center"/>
    </xf>
    <xf numFmtId="0" fontId="69" fillId="0" borderId="168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71" fillId="0" borderId="142" xfId="0" applyFont="1" applyBorder="1" applyAlignment="1">
      <alignment horizontal="center" vertical="center" textRotation="90"/>
    </xf>
    <xf numFmtId="0" fontId="34" fillId="0" borderId="21" xfId="0" applyFont="1" applyBorder="1" applyAlignment="1">
      <alignment horizontal="left" vertical="center"/>
    </xf>
    <xf numFmtId="0" fontId="0" fillId="0" borderId="142" xfId="0" applyBorder="1" applyAlignment="1">
      <alignment horizontal="center" vertical="center"/>
    </xf>
    <xf numFmtId="0" fontId="127" fillId="0" borderId="57" xfId="0" applyFont="1" applyBorder="1" applyAlignment="1">
      <alignment horizontal="center" vertical="center"/>
    </xf>
    <xf numFmtId="0" fontId="127" fillId="0" borderId="30" xfId="0" applyFont="1" applyBorder="1" applyAlignment="1">
      <alignment horizontal="center" vertical="center"/>
    </xf>
    <xf numFmtId="0" fontId="127" fillId="0" borderId="58" xfId="0" applyFont="1" applyBorder="1" applyAlignment="1">
      <alignment horizontal="center" vertical="center"/>
    </xf>
    <xf numFmtId="0" fontId="127" fillId="0" borderId="32" xfId="0" applyFont="1" applyBorder="1" applyAlignment="1">
      <alignment horizontal="center" vertical="center"/>
    </xf>
    <xf numFmtId="0" fontId="127" fillId="0" borderId="129" xfId="0" applyFont="1" applyBorder="1" applyAlignment="1">
      <alignment horizontal="center" vertical="center"/>
    </xf>
    <xf numFmtId="0" fontId="127" fillId="0" borderId="142" xfId="0" applyFont="1" applyBorder="1" applyAlignment="1">
      <alignment horizontal="center" vertical="center"/>
    </xf>
    <xf numFmtId="0" fontId="34" fillId="0" borderId="58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70" xfId="0" applyFont="1" applyBorder="1" applyAlignment="1">
      <alignment vertical="center"/>
    </xf>
    <xf numFmtId="0" fontId="34" fillId="0" borderId="71" xfId="0" applyFont="1" applyBorder="1" applyAlignment="1">
      <alignment vertical="center"/>
    </xf>
    <xf numFmtId="0" fontId="127" fillId="0" borderId="70" xfId="0" applyFont="1" applyBorder="1" applyAlignment="1">
      <alignment vertical="center"/>
    </xf>
    <xf numFmtId="0" fontId="127" fillId="0" borderId="71" xfId="0" applyFont="1" applyBorder="1" applyAlignment="1">
      <alignment vertical="center"/>
    </xf>
    <xf numFmtId="14" fontId="74" fillId="0" borderId="169" xfId="0" applyNumberFormat="1" applyFont="1" applyBorder="1" applyAlignment="1">
      <alignment horizontal="center" vertical="center"/>
    </xf>
    <xf numFmtId="14" fontId="74" fillId="0" borderId="163" xfId="0" applyNumberFormat="1" applyFont="1" applyBorder="1" applyAlignment="1">
      <alignment horizontal="center" vertical="center"/>
    </xf>
    <xf numFmtId="14" fontId="74" fillId="0" borderId="162" xfId="0" applyNumberFormat="1" applyFont="1" applyBorder="1" applyAlignment="1">
      <alignment horizontal="center" vertical="center"/>
    </xf>
    <xf numFmtId="168" fontId="74" fillId="0" borderId="169" xfId="0" applyNumberFormat="1" applyFont="1" applyBorder="1" applyAlignment="1">
      <alignment horizontal="center" vertical="center"/>
    </xf>
    <xf numFmtId="168" fontId="74" fillId="0" borderId="163" xfId="0" applyNumberFormat="1" applyFont="1" applyBorder="1" applyAlignment="1">
      <alignment horizontal="center" vertical="center"/>
    </xf>
    <xf numFmtId="168" fontId="74" fillId="0" borderId="162" xfId="0" applyNumberFormat="1" applyFont="1" applyBorder="1" applyAlignment="1">
      <alignment horizontal="center" vertical="center"/>
    </xf>
    <xf numFmtId="0" fontId="74" fillId="0" borderId="169" xfId="0" applyFont="1" applyBorder="1" applyAlignment="1">
      <alignment horizontal="left" vertical="center" wrapText="1"/>
    </xf>
    <xf numFmtId="0" fontId="74" fillId="0" borderId="163" xfId="0" applyFont="1" applyBorder="1" applyAlignment="1">
      <alignment horizontal="left" vertical="center" wrapText="1"/>
    </xf>
    <xf numFmtId="0" fontId="74" fillId="0" borderId="162" xfId="0" applyFont="1" applyBorder="1" applyAlignment="1">
      <alignment horizontal="left" vertical="center" wrapText="1"/>
    </xf>
    <xf numFmtId="0" fontId="67" fillId="0" borderId="37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32" xfId="0" applyFont="1" applyBorder="1" applyAlignment="1">
      <alignment horizontal="center" vertical="center"/>
    </xf>
    <xf numFmtId="0" fontId="83" fillId="0" borderId="166" xfId="0" applyFont="1" applyBorder="1" applyAlignment="1">
      <alignment horizontal="center"/>
    </xf>
    <xf numFmtId="0" fontId="83" fillId="0" borderId="167" xfId="0" applyFont="1" applyBorder="1" applyAlignment="1">
      <alignment horizontal="center"/>
    </xf>
    <xf numFmtId="0" fontId="83" fillId="0" borderId="168" xfId="0" applyFont="1" applyBorder="1" applyAlignment="1">
      <alignment horizontal="center"/>
    </xf>
    <xf numFmtId="0" fontId="34" fillId="0" borderId="57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75" fillId="0" borderId="170" xfId="0" applyFont="1" applyBorder="1" applyAlignment="1">
      <alignment horizontal="center" vertical="center"/>
    </xf>
    <xf numFmtId="0" fontId="75" fillId="0" borderId="167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4" xfId="0" applyFont="1" applyBorder="1" applyAlignment="1">
      <alignment horizontal="left" vertical="center"/>
    </xf>
    <xf numFmtId="0" fontId="75" fillId="0" borderId="180" xfId="0" applyFont="1" applyBorder="1" applyAlignment="1">
      <alignment horizontal="left" vertical="center"/>
    </xf>
    <xf numFmtId="0" fontId="75" fillId="0" borderId="181" xfId="0" applyFont="1" applyBorder="1" applyAlignment="1">
      <alignment horizontal="left" vertical="center"/>
    </xf>
    <xf numFmtId="0" fontId="75" fillId="0" borderId="42" xfId="0" applyFont="1" applyBorder="1" applyAlignment="1">
      <alignment horizontal="left"/>
    </xf>
    <xf numFmtId="0" fontId="34" fillId="0" borderId="174" xfId="0" applyFont="1" applyBorder="1" applyAlignment="1">
      <alignment horizontal="left" vertical="center"/>
    </xf>
    <xf numFmtId="0" fontId="34" fillId="0" borderId="180" xfId="0" applyFont="1" applyBorder="1" applyAlignment="1">
      <alignment horizontal="left" vertical="center"/>
    </xf>
    <xf numFmtId="0" fontId="34" fillId="0" borderId="181" xfId="0" applyFont="1" applyBorder="1" applyAlignment="1">
      <alignment horizontal="left" vertical="center"/>
    </xf>
    <xf numFmtId="0" fontId="75" fillId="0" borderId="170" xfId="0" applyFont="1" applyBorder="1" applyAlignment="1">
      <alignment horizontal="left" vertical="center"/>
    </xf>
    <xf numFmtId="0" fontId="75" fillId="0" borderId="167" xfId="0" applyFont="1" applyBorder="1" applyAlignment="1">
      <alignment horizontal="left" vertical="center"/>
    </xf>
    <xf numFmtId="0" fontId="75" fillId="0" borderId="168" xfId="0" applyFont="1" applyBorder="1" applyAlignment="1">
      <alignment horizontal="left" vertical="center"/>
    </xf>
    <xf numFmtId="0" fontId="75" fillId="0" borderId="174" xfId="0" applyFont="1" applyBorder="1" applyAlignment="1">
      <alignment horizontal="center" vertical="center"/>
    </xf>
    <xf numFmtId="0" fontId="75" fillId="0" borderId="180" xfId="0" applyFont="1" applyBorder="1" applyAlignment="1">
      <alignment horizontal="center" vertical="center"/>
    </xf>
    <xf numFmtId="0" fontId="75" fillId="0" borderId="181" xfId="0" applyFont="1" applyBorder="1" applyAlignment="1">
      <alignment horizontal="center" vertical="center"/>
    </xf>
    <xf numFmtId="0" fontId="75" fillId="0" borderId="171" xfId="0" applyFont="1" applyBorder="1" applyAlignment="1">
      <alignment horizontal="left" vertical="center"/>
    </xf>
    <xf numFmtId="0" fontId="61" fillId="0" borderId="57" xfId="0" applyFont="1" applyBorder="1" applyAlignment="1">
      <alignment horizontal="center" vertical="center"/>
    </xf>
    <xf numFmtId="0" fontId="61" fillId="0" borderId="37" xfId="0" applyFont="1" applyBorder="1" applyAlignment="1">
      <alignment horizontal="center" vertical="center"/>
    </xf>
    <xf numFmtId="0" fontId="61" fillId="0" borderId="30" xfId="0" applyFont="1" applyBorder="1" applyAlignment="1">
      <alignment horizontal="center" vertical="center"/>
    </xf>
    <xf numFmtId="0" fontId="61" fillId="0" borderId="129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142" xfId="0" applyFont="1" applyBorder="1" applyAlignment="1">
      <alignment horizontal="center" vertical="center"/>
    </xf>
    <xf numFmtId="0" fontId="53" fillId="0" borderId="70" xfId="0" applyFont="1" applyBorder="1" applyAlignment="1">
      <alignment horizontal="center" vertical="center"/>
    </xf>
    <xf numFmtId="0" fontId="53" fillId="0" borderId="71" xfId="0" applyFont="1" applyBorder="1" applyAlignment="1">
      <alignment horizontal="center" vertical="center"/>
    </xf>
    <xf numFmtId="0" fontId="53" fillId="0" borderId="72" xfId="0" applyFont="1" applyBorder="1" applyAlignment="1">
      <alignment horizontal="center" vertical="center"/>
    </xf>
    <xf numFmtId="16" fontId="53" fillId="0" borderId="71" xfId="0" applyNumberFormat="1" applyFont="1" applyBorder="1" applyAlignment="1">
      <alignment horizontal="center" vertical="center"/>
    </xf>
    <xf numFmtId="0" fontId="52" fillId="15" borderId="45" xfId="0" applyFont="1" applyFill="1" applyBorder="1" applyAlignment="1">
      <alignment horizontal="center" vertical="center" textRotation="90"/>
    </xf>
    <xf numFmtId="0" fontId="52" fillId="15" borderId="191" xfId="0" applyFont="1" applyFill="1" applyBorder="1" applyAlignment="1">
      <alignment horizontal="center" vertical="center" textRotation="90"/>
    </xf>
    <xf numFmtId="0" fontId="52" fillId="15" borderId="121" xfId="0" applyFont="1" applyFill="1" applyBorder="1" applyAlignment="1">
      <alignment horizontal="center" vertical="center" textRotation="87"/>
    </xf>
    <xf numFmtId="0" fontId="52" fillId="15" borderId="190" xfId="0" applyFont="1" applyFill="1" applyBorder="1" applyAlignment="1">
      <alignment horizontal="center" vertical="center" textRotation="87"/>
    </xf>
    <xf numFmtId="0" fontId="132" fillId="0" borderId="23" xfId="0" applyFont="1" applyBorder="1" applyAlignment="1">
      <alignment horizontal="left" vertical="center"/>
    </xf>
    <xf numFmtId="0" fontId="132" fillId="0" borderId="46" xfId="0" applyFont="1" applyBorder="1" applyAlignment="1">
      <alignment horizontal="left" vertical="center"/>
    </xf>
  </cellXfs>
  <cellStyles count="37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Besuchter Hyperlink" xfId="34" builtinId="9" hidden="1"/>
    <cellStyle name="Besuchter Hyperlink" xfId="35" builtinId="9" hidden="1"/>
    <cellStyle name="Besuchter Hyperlink" xfId="32" builtinId="9" hidden="1"/>
    <cellStyle name="Besuchter Hyperlink" xfId="33" builtinId="9" hidden="1"/>
    <cellStyle name="Besuchter Hyperlink" xfId="31" builtinId="9" hidde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Hyperlink 2" xfId="14" xr:uid="{00000000-0005-0000-0000-000011000000}"/>
    <cellStyle name="Hyperlink 2 2" xfId="30" xr:uid="{00000000-0005-0000-0000-000012000000}"/>
    <cellStyle name="Hyperlink 3" xfId="29" xr:uid="{00000000-0005-0000-0000-000013000000}"/>
    <cellStyle name="Hyperlink_01 09 Adressen CH CUP" xfId="15" xr:uid="{00000000-0005-0000-0000-000014000000}"/>
    <cellStyle name="Link" xfId="13" builtinId="8"/>
    <cellStyle name="Neutral" xfId="16" builtinId="28" customBuiltin="1"/>
    <cellStyle name="Notiz" xfId="17" builtinId="10" customBuiltin="1"/>
    <cellStyle name="Schlecht" xfId="18" builtinId="27" customBuiltin="1"/>
    <cellStyle name="Standard" xfId="0" builtinId="0"/>
    <cellStyle name="Standard 2" xfId="28" xr:uid="{00000000-0005-0000-0000-00001A000000}"/>
    <cellStyle name="Standard 2 2" xfId="36" xr:uid="{00000000-0005-0000-0000-00001B000000}"/>
    <cellStyle name="Standard_01 09 Adressen CH CUP" xfId="19" xr:uid="{00000000-0005-0000-0000-00001C000000}"/>
    <cellStyle name="Überschrift" xfId="20" builtinId="15" customBuiltin="1"/>
    <cellStyle name="Überschrift 1" xfId="21" builtinId="16" customBuiltin="1"/>
    <cellStyle name="Überschrift 2" xfId="22" builtinId="17" customBuiltin="1"/>
    <cellStyle name="Überschrift 3" xfId="23" builtinId="18" customBuiltin="1"/>
    <cellStyle name="Überschrift 4" xfId="24" builtinId="19" customBuiltin="1"/>
    <cellStyle name="Verknüpfte Zelle" xfId="25" builtinId="24" customBuiltin="1"/>
    <cellStyle name="Warnender Text" xfId="26" builtinId="11" customBuiltin="1"/>
    <cellStyle name="Zelle überprüfen" xfId="27" builtinId="23" customBuiltin="1"/>
  </cellStyles>
  <dxfs count="789"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69850</xdr:rowOff>
    </xdr:from>
    <xdr:to>
      <xdr:col>2</xdr:col>
      <xdr:colOff>686210</xdr:colOff>
      <xdr:row>2</xdr:row>
      <xdr:rowOff>155575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D54BE34-8519-4BDE-9542-5C6329887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69850"/>
          <a:ext cx="686210" cy="631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B6AF2730-F501-403B-B24A-8D5A195E5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8D830E30-06B3-4944-A966-7781DA28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1E7B1A79-B324-4743-A32B-1E72ABD62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1CCE7DFE-07E1-4325-893F-4807AA0C2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E526CE4A-4204-4E36-BD88-12284273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463A98D5-DA37-4CAF-BF91-91F363E1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6EC4AB26-A1A6-4C63-9824-E7E616B6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93AF5D87-8B61-4143-BB2D-9E94341B1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7119DB9F-60F3-4208-9509-4DC6407D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189D4B79-BB84-4029-8063-8A3DF2E80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2</xdr:col>
      <xdr:colOff>686210</xdr:colOff>
      <xdr:row>2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2810F59-85D9-49A6-9865-213EF6F9D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686210" cy="6381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E65F4653-F4F1-49F1-B9DA-314BEAE79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C4CC730B-7FA8-4E22-B9D2-0C052815A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2D54DD68-9A40-40E0-BFF9-ED74F2CF6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87C021FE-2BCD-41B5-9BDB-B08C00BFD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3BE9886F-D840-4A3C-8B9E-4CCC50A84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17885147-992E-440C-AADF-582A43EF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5C6BD6E9-56FA-406F-AC70-5BD0527F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3D44AE4D-4426-4C3C-B489-5DB6A4154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EE02E6A3-574A-47D4-85D1-4B0687BA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3BBEE23A-26E7-476D-8D4D-23A0BFB3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15446" name="Grafik 2" descr="SF.jpg">
          <a:extLst>
            <a:ext uri="{FF2B5EF4-FFF2-40B4-BE49-F238E27FC236}">
              <a16:creationId xmlns:a16="http://schemas.microsoft.com/office/drawing/2014/main" id="{00000000-0008-0000-0400-000056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88900"/>
          <a:ext cx="10763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63CAE450-2809-4CDF-A7C3-4782991E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23A22F7D-900D-4726-BDB9-AD458EF31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205AC70E-904B-490C-A0E8-265FE649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0DAD3302-87CA-48E0-B957-9E9CE3FB6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78B959F1-19A9-42BB-B5A7-0D251FBF3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B692FF4F-D8EB-4B9F-A110-543BD81D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BA7B6D73-2A8D-4983-B2CB-38DF28943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CAC30238-8A1D-41F9-8465-7018224E7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3CFBBBA8-F608-4A9B-BD25-4BC5B5E5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0</xdr:row>
      <xdr:rowOff>88900</xdr:rowOff>
    </xdr:from>
    <xdr:ext cx="936625" cy="885825"/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A8F141ED-957B-422C-A19E-55BBA9D39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122E7194-3F46-43B2-B79F-742003C4C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0001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2B7490CD-7FC1-44FA-8E04-EFAE34B4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0001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6D31AF39-0387-4A56-ADF0-6CC8C3BF9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0001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DEE643B4-13FD-4062-847F-46CE46EF6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0001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748D9A63-D042-4FA8-8BD2-662E058CA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000125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6</xdr:col>
      <xdr:colOff>3175</xdr:colOff>
      <xdr:row>4</xdr:row>
      <xdr:rowOff>12700</xdr:rowOff>
    </xdr:to>
    <xdr:pic>
      <xdr:nvPicPr>
        <xdr:cNvPr id="2" name="Grafik 2" descr="SF.jpg">
          <a:extLst>
            <a:ext uri="{FF2B5EF4-FFF2-40B4-BE49-F238E27FC236}">
              <a16:creationId xmlns:a16="http://schemas.microsoft.com/office/drawing/2014/main" id="{31B22525-76B0-4521-904F-EC7E0C5BF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936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uno Pabst" id="{D7888C15-30D8-46F3-8914-E449AB6F346F}" userId="02a7340de948ad21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" dT="2021-01-20T21:44:47.41" personId="{D7888C15-30D8-46F3-8914-E449AB6F346F}" id="{CC157415-3C04-4481-A25E-F98E67A9F4A7}">
    <text>Zelen 26 bis 34 sind ausgeblendet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L16" dT="2021-09-12T20:02:59.20" personId="{D7888C15-30D8-46F3-8914-E449AB6F346F}" id="{6D479666-5B95-43EE-88D8-6FF055D01AEC}">
    <text>Eingabe Schiri Nummer</text>
  </threadedComment>
  <threadedComment ref="R16" dT="2021-09-12T20:03:33.95" personId="{D7888C15-30D8-46F3-8914-E449AB6F346F}" id="{9B97F09D-629A-4438-8B5A-F630B3F4FFD7}">
    <text>Eingabe Schiri Nummer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01C27DB4-D966-416A-B58F-5171063116E3}">
    <text>Eingabe Final z.B 1/8 Final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7C46B73D-775D-4D17-A640-7C5BEC7BC3B5}">
    <text>Eingabe Final z.B 1/8 Final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6EFE8445-3CEF-4156-98A7-D8C4FFA1068D}">
    <text>Eingabe Final z.B 1/8 Final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6AB3D016-53CC-4207-9924-B908BD225608}">
    <text>Eingabe Final z.B 1/8 Final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27B4E842-9A7D-4C35-B33F-6F5B62443E89}">
    <text>Eingabe Final z.B 1/8 Final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A856691E-F1C3-498C-B25B-439B605D24F9}">
    <text>Eingabe Final z.B 1/8 Final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1E920F58-8924-4E53-B375-318D5F1FEB24}">
    <text>Eingabe Final z.B 1/8 Final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D2" dT="2021-07-16T19:06:57.17" personId="{D7888C15-30D8-46F3-8914-E449AB6F346F}" id="{7441431E-9D6B-4640-9B3C-520E212DD8A3}">
    <text>Eingabe Final z.B 1/8 Final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obias_kasper@hotmail.com" TargetMode="External"/><Relationship Id="rId18" Type="http://schemas.openxmlformats.org/officeDocument/2006/relationships/hyperlink" Target="mailto:jerome.sepin@gmail.com" TargetMode="External"/><Relationship Id="rId26" Type="http://schemas.openxmlformats.org/officeDocument/2006/relationships/hyperlink" Target="mailto:d_berger@bluewin.ch" TargetMode="External"/><Relationship Id="rId3" Type="http://schemas.openxmlformats.org/officeDocument/2006/relationships/hyperlink" Target="mailto:szi@gft-fassaden.swiss" TargetMode="External"/><Relationship Id="rId21" Type="http://schemas.openxmlformats.org/officeDocument/2006/relationships/hyperlink" Target="mailto:pascal-wyss@gmx.net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tobias_kasper@hotmail.com" TargetMode="External"/><Relationship Id="rId12" Type="http://schemas.openxmlformats.org/officeDocument/2006/relationships/hyperlink" Target="mailto:b.boldo@bluewin.ch" TargetMode="External"/><Relationship Id="rId17" Type="http://schemas.openxmlformats.org/officeDocument/2006/relationships/hyperlink" Target="mailto:patrick@oderbolz.ch" TargetMode="External"/><Relationship Id="rId25" Type="http://schemas.openxmlformats.org/officeDocument/2006/relationships/hyperlink" Target="mailto:m.bucher@hs-team.ch" TargetMode="External"/><Relationship Id="rId33" Type="http://schemas.openxmlformats.org/officeDocument/2006/relationships/hyperlink" Target="mailto:spiko@faustball-svd.clubdesk.com" TargetMode="External"/><Relationship Id="rId2" Type="http://schemas.openxmlformats.org/officeDocument/2006/relationships/hyperlink" Target="mailto:schweri.simon@gmail.com%20R&#252;ckzug" TargetMode="External"/><Relationship Id="rId16" Type="http://schemas.openxmlformats.org/officeDocument/2006/relationships/hyperlink" Target="mailto:cyril.mettler@tbwil.ch" TargetMode="External"/><Relationship Id="rId20" Type="http://schemas.openxmlformats.org/officeDocument/2006/relationships/hyperlink" Target="mailto:beeler-daniel@outlook.com" TargetMode="External"/><Relationship Id="rId29" Type="http://schemas.openxmlformats.org/officeDocument/2006/relationships/hyperlink" Target="mailto:spiko@fgriwi.ch" TargetMode="External"/><Relationship Id="rId1" Type="http://schemas.openxmlformats.org/officeDocument/2006/relationships/hyperlink" Target="mailto:faustball@mrberingen.ch" TargetMode="External"/><Relationship Id="rId6" Type="http://schemas.openxmlformats.org/officeDocument/2006/relationships/hyperlink" Target="mailto:martin.w.buser@gmail.com" TargetMode="External"/><Relationship Id="rId11" Type="http://schemas.openxmlformats.org/officeDocument/2006/relationships/hyperlink" Target="mailto:gabriel.schlaepfer@gmail.com" TargetMode="External"/><Relationship Id="rId24" Type="http://schemas.openxmlformats.org/officeDocument/2006/relationships/hyperlink" Target="mailto:raffigubser@bluewin.ch" TargetMode="External"/><Relationship Id="rId32" Type="http://schemas.openxmlformats.org/officeDocument/2006/relationships/hyperlink" Target="mailto:remo.pinchera@faustball-widnau.ch" TargetMode="External"/><Relationship Id="rId5" Type="http://schemas.openxmlformats.org/officeDocument/2006/relationships/hyperlink" Target="mailto:familie_pfister@bluewin.ch" TargetMode="External"/><Relationship Id="rId15" Type="http://schemas.openxmlformats.org/officeDocument/2006/relationships/hyperlink" Target="mailto:tk@fbneuendorf.ch" TargetMode="External"/><Relationship Id="rId23" Type="http://schemas.openxmlformats.org/officeDocument/2006/relationships/hyperlink" Target="mailto:marco.nueesch@faustball-widnau.ch" TargetMode="External"/><Relationship Id="rId28" Type="http://schemas.openxmlformats.org/officeDocument/2006/relationships/hyperlink" Target="mailto:maenner@faustballschlieren.ch" TargetMode="External"/><Relationship Id="rId10" Type="http://schemas.openxmlformats.org/officeDocument/2006/relationships/hyperlink" Target="mailto:beda.95@hotmail.com" TargetMode="External"/><Relationship Id="rId19" Type="http://schemas.openxmlformats.org/officeDocument/2006/relationships/hyperlink" Target="mailto:lorenz.moser@hotmail.com" TargetMode="External"/><Relationship Id="rId31" Type="http://schemas.openxmlformats.org/officeDocument/2006/relationships/hyperlink" Target="mailto:tkchef@fbjona.ch" TargetMode="External"/><Relationship Id="rId4" Type="http://schemas.openxmlformats.org/officeDocument/2006/relationships/hyperlink" Target="mailto:peter.rohner@ar.ch" TargetMode="External"/><Relationship Id="rId9" Type="http://schemas.openxmlformats.org/officeDocument/2006/relationships/hyperlink" Target="mailto:rh@wwag.ch" TargetMode="External"/><Relationship Id="rId14" Type="http://schemas.openxmlformats.org/officeDocument/2006/relationships/hyperlink" Target="mailto:lang@swissfaustball.ch" TargetMode="External"/><Relationship Id="rId22" Type="http://schemas.openxmlformats.org/officeDocument/2006/relationships/hyperlink" Target="mailto:remo.pinchera@bluewin.ch" TargetMode="External"/><Relationship Id="rId27" Type="http://schemas.openxmlformats.org/officeDocument/2006/relationships/hyperlink" Target="mailto:m.bucher@hs-team.ch" TargetMode="External"/><Relationship Id="rId30" Type="http://schemas.openxmlformats.org/officeDocument/2006/relationships/hyperlink" Target="mailto:spiko@fgriwi.ch" TargetMode="External"/><Relationship Id="rId8" Type="http://schemas.openxmlformats.org/officeDocument/2006/relationships/hyperlink" Target="mailto:ziege81@icloud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5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hyperlink" Target="mailto:pabst@swissfaustball.ch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7.xml"/><Relationship Id="rId4" Type="http://schemas.openxmlformats.org/officeDocument/2006/relationships/vmlDrawing" Target="../drawings/vmlDrawing10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8.xml"/><Relationship Id="rId4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14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0.xml"/><Relationship Id="rId4" Type="http://schemas.openxmlformats.org/officeDocument/2006/relationships/vmlDrawing" Target="../drawings/vmlDrawing16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8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20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3.xml"/><Relationship Id="rId4" Type="http://schemas.openxmlformats.org/officeDocument/2006/relationships/vmlDrawing" Target="../drawings/vmlDrawing2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4.xml"/><Relationship Id="rId4" Type="http://schemas.openxmlformats.org/officeDocument/2006/relationships/vmlDrawing" Target="../drawings/vmlDrawing24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5.xml"/><Relationship Id="rId4" Type="http://schemas.openxmlformats.org/officeDocument/2006/relationships/vmlDrawing" Target="../drawings/vmlDrawing26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6.xml"/><Relationship Id="rId4" Type="http://schemas.openxmlformats.org/officeDocument/2006/relationships/vmlDrawing" Target="../drawings/vmlDrawing28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7.xml"/><Relationship Id="rId4" Type="http://schemas.openxmlformats.org/officeDocument/2006/relationships/vmlDrawing" Target="../drawings/vmlDrawing30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8.xml"/><Relationship Id="rId4" Type="http://schemas.openxmlformats.org/officeDocument/2006/relationships/vmlDrawing" Target="../drawings/vmlDrawing3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lorenz.moser@hotmail.com" TargetMode="External"/><Relationship Id="rId18" Type="http://schemas.openxmlformats.org/officeDocument/2006/relationships/hyperlink" Target="mailto:beeler-daniel@outlook.com" TargetMode="External"/><Relationship Id="rId26" Type="http://schemas.openxmlformats.org/officeDocument/2006/relationships/hyperlink" Target="mailto:valon.shabanaj@outlook.com" TargetMode="External"/><Relationship Id="rId39" Type="http://schemas.openxmlformats.org/officeDocument/2006/relationships/hyperlink" Target="mailto:faustball@tvkirchberg.ch" TargetMode="External"/><Relationship Id="rId21" Type="http://schemas.openxmlformats.org/officeDocument/2006/relationships/hyperlink" Target="mailto:hochi41@hotmail.com" TargetMode="External"/><Relationship Id="rId34" Type="http://schemas.openxmlformats.org/officeDocument/2006/relationships/hyperlink" Target="mailto:spiko@faustball-diepoldsau.ch" TargetMode="External"/><Relationship Id="rId7" Type="http://schemas.openxmlformats.org/officeDocument/2006/relationships/hyperlink" Target="mailto:maenner@faustballschlieren.ch" TargetMode="External"/><Relationship Id="rId2" Type="http://schemas.openxmlformats.org/officeDocument/2006/relationships/hyperlink" Target="mailto:d_berger@bluewin.ch" TargetMode="External"/><Relationship Id="rId16" Type="http://schemas.openxmlformats.org/officeDocument/2006/relationships/hyperlink" Target="mailto:bommers@bluewin.ch" TargetMode="External"/><Relationship Id="rId20" Type="http://schemas.openxmlformats.org/officeDocument/2006/relationships/hyperlink" Target="mailto:schmaerae@bluewin.ch" TargetMode="External"/><Relationship Id="rId29" Type="http://schemas.openxmlformats.org/officeDocument/2006/relationships/hyperlink" Target="mailto:faustball@stv-affeltrangen.ch" TargetMode="External"/><Relationship Id="rId41" Type="http://schemas.openxmlformats.org/officeDocument/2006/relationships/printerSettings" Target="../printerSettings/printerSettings4.bin"/><Relationship Id="rId1" Type="http://schemas.openxmlformats.org/officeDocument/2006/relationships/hyperlink" Target="mailto:fabio.schiess@schiessag.ch" TargetMode="External"/><Relationship Id="rId6" Type="http://schemas.openxmlformats.org/officeDocument/2006/relationships/hyperlink" Target="mailto:pascal.barriere@bd.so.ch" TargetMode="External"/><Relationship Id="rId11" Type="http://schemas.openxmlformats.org/officeDocument/2006/relationships/hyperlink" Target="mailto:tobias_kasper@hotmail.com" TargetMode="External"/><Relationship Id="rId24" Type="http://schemas.openxmlformats.org/officeDocument/2006/relationships/hyperlink" Target="mailto:b.boldo@bluewin.ch" TargetMode="External"/><Relationship Id="rId32" Type="http://schemas.openxmlformats.org/officeDocument/2006/relationships/hyperlink" Target="mailto:nagel.markus@outlok.com" TargetMode="External"/><Relationship Id="rId37" Type="http://schemas.openxmlformats.org/officeDocument/2006/relationships/hyperlink" Target="mailto:spiko@faustball-diepoldsau.ch" TargetMode="External"/><Relationship Id="rId40" Type="http://schemas.openxmlformats.org/officeDocument/2006/relationships/hyperlink" Target="mailto:simon.kunz@fbv-ettenhausen.ch" TargetMode="External"/><Relationship Id="rId5" Type="http://schemas.openxmlformats.org/officeDocument/2006/relationships/hyperlink" Target="mailto:spielbetrieb@faustballcenter.ch" TargetMode="External"/><Relationship Id="rId15" Type="http://schemas.openxmlformats.org/officeDocument/2006/relationships/hyperlink" Target="mailto:spiko@fgriwi.ch" TargetMode="External"/><Relationship Id="rId23" Type="http://schemas.openxmlformats.org/officeDocument/2006/relationships/hyperlink" Target="mailto:acklin@sunrise.ch" TargetMode="External"/><Relationship Id="rId28" Type="http://schemas.openxmlformats.org/officeDocument/2006/relationships/hyperlink" Target="mailto:andreas@steinbauer.ch" TargetMode="External"/><Relationship Id="rId36" Type="http://schemas.openxmlformats.org/officeDocument/2006/relationships/hyperlink" Target="mailto:reto.vonballmoos@gmail.com" TargetMode="External"/><Relationship Id="rId10" Type="http://schemas.openxmlformats.org/officeDocument/2006/relationships/hyperlink" Target="mailto:elias.schlaepfer@gmail.com" TargetMode="External"/><Relationship Id="rId19" Type="http://schemas.openxmlformats.org/officeDocument/2006/relationships/hyperlink" Target="mailto:faustball@mrberingen.ch" TargetMode="External"/><Relationship Id="rId31" Type="http://schemas.openxmlformats.org/officeDocument/2006/relationships/hyperlink" Target="mailto:jf.schoch@bluewin.ch" TargetMode="External"/><Relationship Id="rId4" Type="http://schemas.openxmlformats.org/officeDocument/2006/relationships/hyperlink" Target="mailto:tkchef@fbjona.ch" TargetMode="External"/><Relationship Id="rId9" Type="http://schemas.openxmlformats.org/officeDocument/2006/relationships/hyperlink" Target="mailto:marco.nueesch@faustball-widnau.ch" TargetMode="External"/><Relationship Id="rId14" Type="http://schemas.openxmlformats.org/officeDocument/2006/relationships/hyperlink" Target="mailto:dluedi@besonet.ch" TargetMode="External"/><Relationship Id="rId22" Type="http://schemas.openxmlformats.org/officeDocument/2006/relationships/hyperlink" Target="mailto:cyrill.hagen@gmail.com" TargetMode="External"/><Relationship Id="rId27" Type="http://schemas.openxmlformats.org/officeDocument/2006/relationships/hyperlink" Target="mailto:maenner@faustballschlieren.ch" TargetMode="External"/><Relationship Id="rId30" Type="http://schemas.openxmlformats.org/officeDocument/2006/relationships/hyperlink" Target="mailto:severin_holzer@hotmail.com" TargetMode="External"/><Relationship Id="rId35" Type="http://schemas.openxmlformats.org/officeDocument/2006/relationships/hyperlink" Target="mailto:reto.vonballmoos@gmail.com" TargetMode="External"/><Relationship Id="rId8" Type="http://schemas.openxmlformats.org/officeDocument/2006/relationships/hyperlink" Target="mailto:jan.haller@schulemuhen.ch" TargetMode="External"/><Relationship Id="rId3" Type="http://schemas.openxmlformats.org/officeDocument/2006/relationships/hyperlink" Target="mailto:beda.95@hotmail.com" TargetMode="External"/><Relationship Id="rId12" Type="http://schemas.openxmlformats.org/officeDocument/2006/relationships/hyperlink" Target="mailto:simon.kunz@fbv-ettenhausen.ch" TargetMode="External"/><Relationship Id="rId17" Type="http://schemas.openxmlformats.org/officeDocument/2006/relationships/hyperlink" Target="mailto:tk@fbneuendorf.ch" TargetMode="External"/><Relationship Id="rId25" Type="http://schemas.openxmlformats.org/officeDocument/2006/relationships/hyperlink" Target="mailto:r.chapuis@bluewin.ch" TargetMode="External"/><Relationship Id="rId33" Type="http://schemas.openxmlformats.org/officeDocument/2006/relationships/hyperlink" Target="mailto:meier_x@hotmail.com" TargetMode="External"/><Relationship Id="rId38" Type="http://schemas.openxmlformats.org/officeDocument/2006/relationships/hyperlink" Target="mailto:adi.koenig@gmail.com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19.xml"/><Relationship Id="rId4" Type="http://schemas.openxmlformats.org/officeDocument/2006/relationships/vmlDrawing" Target="../drawings/vmlDrawing34.v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0.xml"/><Relationship Id="rId4" Type="http://schemas.openxmlformats.org/officeDocument/2006/relationships/vmlDrawing" Target="../drawings/vmlDrawing36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1.xml"/><Relationship Id="rId4" Type="http://schemas.openxmlformats.org/officeDocument/2006/relationships/vmlDrawing" Target="../drawings/vmlDrawing38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2.xml"/><Relationship Id="rId4" Type="http://schemas.openxmlformats.org/officeDocument/2006/relationships/vmlDrawing" Target="../drawings/vmlDrawing40.v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3.xml"/><Relationship Id="rId4" Type="http://schemas.openxmlformats.org/officeDocument/2006/relationships/vmlDrawing" Target="../drawings/vmlDrawing4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4.xml"/><Relationship Id="rId4" Type="http://schemas.openxmlformats.org/officeDocument/2006/relationships/vmlDrawing" Target="../drawings/vmlDrawing44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5.xml"/><Relationship Id="rId4" Type="http://schemas.openxmlformats.org/officeDocument/2006/relationships/vmlDrawing" Target="../drawings/vmlDrawing46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6.xml"/><Relationship Id="rId4" Type="http://schemas.openxmlformats.org/officeDocument/2006/relationships/vmlDrawing" Target="../drawings/vmlDrawing48.v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7.xml"/><Relationship Id="rId4" Type="http://schemas.openxmlformats.org/officeDocument/2006/relationships/vmlDrawing" Target="../drawings/vmlDrawing50.v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8.xml"/><Relationship Id="rId4" Type="http://schemas.openxmlformats.org/officeDocument/2006/relationships/vmlDrawing" Target="../drawings/vmlDrawing5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29.xml"/><Relationship Id="rId4" Type="http://schemas.openxmlformats.org/officeDocument/2006/relationships/vmlDrawing" Target="../drawings/vmlDrawing54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30.xml"/><Relationship Id="rId4" Type="http://schemas.openxmlformats.org/officeDocument/2006/relationships/vmlDrawing" Target="../drawings/vmlDrawing56.v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31.xml"/><Relationship Id="rId4" Type="http://schemas.openxmlformats.org/officeDocument/2006/relationships/vmlDrawing" Target="../drawings/vmlDrawing58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32.xml"/><Relationship Id="rId4" Type="http://schemas.openxmlformats.org/officeDocument/2006/relationships/vmlDrawing" Target="../drawings/vmlDrawing60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mailto:pabst@swissfaustball.ch" TargetMode="External"/><Relationship Id="rId5" Type="http://schemas.openxmlformats.org/officeDocument/2006/relationships/comments" Target="../comments33.xml"/><Relationship Id="rId4" Type="http://schemas.openxmlformats.org/officeDocument/2006/relationships/vmlDrawing" Target="../drawings/vmlDrawing62.v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34.xml"/><Relationship Id="rId4" Type="http://schemas.openxmlformats.org/officeDocument/2006/relationships/vmlDrawing" Target="../drawings/vmlDrawing64.v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5.xml"/><Relationship Id="rId4" Type="http://schemas.openxmlformats.org/officeDocument/2006/relationships/vmlDrawing" Target="../drawings/vmlDrawing66.v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7.vml"/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36.xml"/><Relationship Id="rId4" Type="http://schemas.openxmlformats.org/officeDocument/2006/relationships/vmlDrawing" Target="../drawings/vmlDrawing68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9.vml"/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5.xml"/><Relationship Id="rId5" Type="http://schemas.openxmlformats.org/officeDocument/2006/relationships/comments" Target="../comments37.xml"/><Relationship Id="rId4" Type="http://schemas.openxmlformats.org/officeDocument/2006/relationships/vmlDrawing" Target="../drawings/vmlDrawing70.v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1.vml"/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6.xml"/><Relationship Id="rId5" Type="http://schemas.openxmlformats.org/officeDocument/2006/relationships/comments" Target="../comments38.xml"/><Relationship Id="rId4" Type="http://schemas.openxmlformats.org/officeDocument/2006/relationships/vmlDrawing" Target="../drawings/vmlDrawing72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3.vml"/><Relationship Id="rId2" Type="http://schemas.openxmlformats.org/officeDocument/2006/relationships/printerSettings" Target="../printerSettings/printerSettings79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7.xml"/><Relationship Id="rId5" Type="http://schemas.openxmlformats.org/officeDocument/2006/relationships/comments" Target="../comments39.xml"/><Relationship Id="rId4" Type="http://schemas.openxmlformats.org/officeDocument/2006/relationships/vmlDrawing" Target="../drawings/vmlDrawing74.v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75.vml"/><Relationship Id="rId1" Type="http://schemas.openxmlformats.org/officeDocument/2006/relationships/hyperlink" Target="mailto:pabst@swissfaustball.ch" TargetMode="External"/><Relationship Id="rId4" Type="http://schemas.microsoft.com/office/2017/10/relationships/threadedComment" Target="../threadedComments/threadedComment8.xm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6.vml"/><Relationship Id="rId2" Type="http://schemas.openxmlformats.org/officeDocument/2006/relationships/printerSettings" Target="../printerSettings/printerSettings81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9.xml"/><Relationship Id="rId5" Type="http://schemas.openxmlformats.org/officeDocument/2006/relationships/comments" Target="../comments41.xml"/><Relationship Id="rId4" Type="http://schemas.openxmlformats.org/officeDocument/2006/relationships/vmlDrawing" Target="../drawings/vmlDrawing77.v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8.vml"/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mailto:pabst@swissfaustball.ch" TargetMode="External"/><Relationship Id="rId6" Type="http://schemas.microsoft.com/office/2017/10/relationships/threadedComment" Target="../threadedComments/threadedComment10.xml"/><Relationship Id="rId5" Type="http://schemas.openxmlformats.org/officeDocument/2006/relationships/comments" Target="../comments42.xml"/><Relationship Id="rId4" Type="http://schemas.openxmlformats.org/officeDocument/2006/relationships/vmlDrawing" Target="../drawings/vmlDrawing79.vm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84.bin"/><Relationship Id="rId4" Type="http://schemas.openxmlformats.org/officeDocument/2006/relationships/comments" Target="../comments4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remo.pinchera@faustball-widnau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H72"/>
  <sheetViews>
    <sheetView topLeftCell="I1" workbookViewId="0">
      <selection activeCell="P30" sqref="P30"/>
    </sheetView>
  </sheetViews>
  <sheetFormatPr baseColWidth="10" defaultColWidth="10.81640625" defaultRowHeight="12.5"/>
  <cols>
    <col min="1" max="4" width="4.7265625" customWidth="1"/>
    <col min="5" max="5" width="5.36328125" customWidth="1"/>
    <col min="6" max="6" width="8.7265625" bestFit="1" customWidth="1"/>
    <col min="7" max="7" width="20.1796875" customWidth="1"/>
    <col min="8" max="8" width="11.453125" customWidth="1"/>
    <col min="9" max="9" width="15.81640625" customWidth="1"/>
    <col min="10" max="10" width="14.7265625" customWidth="1"/>
    <col min="11" max="11" width="23.453125" bestFit="1" customWidth="1"/>
    <col min="12" max="12" width="6.453125" bestFit="1" customWidth="1"/>
    <col min="13" max="13" width="16.54296875" bestFit="1" customWidth="1"/>
    <col min="14" max="14" width="15.81640625" style="377" bestFit="1" customWidth="1"/>
    <col min="15" max="15" width="15.54296875" bestFit="1" customWidth="1"/>
    <col min="16" max="16" width="32.7265625" bestFit="1" customWidth="1"/>
    <col min="17" max="17" width="6.7265625" customWidth="1"/>
    <col min="18" max="18" width="5.6328125" customWidth="1"/>
  </cols>
  <sheetData>
    <row r="1" spans="1:20" ht="18.75" customHeight="1">
      <c r="A1" s="857">
        <v>2025</v>
      </c>
      <c r="B1" s="858"/>
      <c r="C1" s="858"/>
      <c r="D1" s="858"/>
      <c r="E1" s="858"/>
      <c r="F1" s="859"/>
      <c r="G1" s="782" t="s">
        <v>42</v>
      </c>
      <c r="H1" s="783"/>
      <c r="I1" s="9" t="s">
        <v>36</v>
      </c>
      <c r="J1" s="9" t="s">
        <v>37</v>
      </c>
      <c r="K1" s="6" t="s">
        <v>8</v>
      </c>
      <c r="L1" s="7" t="s">
        <v>9</v>
      </c>
      <c r="M1" s="6" t="s">
        <v>6</v>
      </c>
      <c r="N1" s="709" t="s">
        <v>10</v>
      </c>
      <c r="O1" s="112" t="s">
        <v>11</v>
      </c>
      <c r="P1" s="113" t="s">
        <v>12</v>
      </c>
      <c r="Q1" s="113" t="s">
        <v>229</v>
      </c>
      <c r="R1" s="113" t="s">
        <v>230</v>
      </c>
      <c r="S1" s="114"/>
      <c r="T1" s="114"/>
    </row>
    <row r="2" spans="1:20" ht="18.75" customHeight="1">
      <c r="A2" s="864" t="str">
        <f>Eigaben!Z3</f>
        <v>37. Schweizer Cup Männer 2025</v>
      </c>
      <c r="B2" s="865"/>
      <c r="C2" s="865"/>
      <c r="D2" s="865"/>
      <c r="E2" s="865"/>
      <c r="F2" s="866"/>
      <c r="G2" s="862"/>
      <c r="H2" s="863"/>
      <c r="I2" s="9"/>
      <c r="J2" s="9"/>
      <c r="K2" s="763"/>
      <c r="L2" s="764"/>
      <c r="M2" s="763"/>
      <c r="N2" s="765"/>
      <c r="O2" s="766"/>
      <c r="P2" s="767"/>
      <c r="Q2" s="767"/>
      <c r="R2" s="768"/>
      <c r="S2" s="114"/>
      <c r="T2" s="114"/>
    </row>
    <row r="3" spans="1:20" ht="15.5">
      <c r="A3" s="154">
        <v>1</v>
      </c>
      <c r="B3" s="700" t="s">
        <v>1047</v>
      </c>
      <c r="C3" s="700"/>
      <c r="D3" s="700"/>
      <c r="E3" s="700"/>
      <c r="F3" s="794" t="s">
        <v>263</v>
      </c>
      <c r="G3" s="703" t="s">
        <v>1297</v>
      </c>
      <c r="H3" s="703"/>
      <c r="I3" s="725" t="s">
        <v>882</v>
      </c>
      <c r="J3" s="725" t="s">
        <v>883</v>
      </c>
      <c r="K3" s="769" t="s">
        <v>317</v>
      </c>
      <c r="L3" s="726">
        <v>9205</v>
      </c>
      <c r="M3" s="725" t="s">
        <v>32</v>
      </c>
      <c r="N3" s="710"/>
      <c r="O3" s="700" t="s">
        <v>884</v>
      </c>
      <c r="P3" s="805" t="s">
        <v>885</v>
      </c>
      <c r="Q3" s="713" t="s">
        <v>1056</v>
      </c>
      <c r="R3" s="770"/>
      <c r="S3" s="116">
        <v>1</v>
      </c>
      <c r="T3" s="117"/>
    </row>
    <row r="4" spans="1:20" ht="15.5">
      <c r="A4" s="154">
        <v>2</v>
      </c>
      <c r="B4" s="700" t="s">
        <v>847</v>
      </c>
      <c r="C4" s="700"/>
      <c r="D4" s="700"/>
      <c r="E4" s="700"/>
      <c r="F4" s="789" t="s">
        <v>262</v>
      </c>
      <c r="G4" s="703" t="s">
        <v>851</v>
      </c>
      <c r="H4" s="703"/>
      <c r="I4" s="725" t="s">
        <v>16</v>
      </c>
      <c r="J4" s="725" t="s">
        <v>15</v>
      </c>
      <c r="K4" s="725" t="s">
        <v>146</v>
      </c>
      <c r="L4" s="726">
        <v>8222</v>
      </c>
      <c r="M4" s="725" t="s">
        <v>17</v>
      </c>
      <c r="N4" s="710" t="s">
        <v>437</v>
      </c>
      <c r="O4" s="700" t="s">
        <v>400</v>
      </c>
      <c r="P4" s="805" t="s">
        <v>684</v>
      </c>
      <c r="Q4" s="713" t="s">
        <v>1056</v>
      </c>
      <c r="R4" s="770"/>
      <c r="S4" s="116">
        <v>2</v>
      </c>
      <c r="T4" s="117"/>
    </row>
    <row r="5" spans="1:20" ht="15.5">
      <c r="A5" s="154">
        <v>3</v>
      </c>
      <c r="B5" s="700" t="s">
        <v>847</v>
      </c>
      <c r="C5" s="700"/>
      <c r="D5" s="700"/>
      <c r="E5" s="700"/>
      <c r="F5" s="808" t="s">
        <v>261</v>
      </c>
      <c r="G5" s="703" t="s">
        <v>873</v>
      </c>
      <c r="H5" s="703"/>
      <c r="I5" s="703" t="s">
        <v>1070</v>
      </c>
      <c r="J5" s="703" t="s">
        <v>1071</v>
      </c>
      <c r="K5" s="703"/>
      <c r="L5" s="726"/>
      <c r="M5" s="703"/>
      <c r="N5" s="710"/>
      <c r="O5" s="700" t="s">
        <v>1072</v>
      </c>
      <c r="P5" s="804" t="s">
        <v>1120</v>
      </c>
      <c r="Q5" s="713" t="s">
        <v>1056</v>
      </c>
      <c r="R5" s="770"/>
      <c r="S5" s="116">
        <v>3</v>
      </c>
      <c r="T5" s="117"/>
    </row>
    <row r="6" spans="1:20" ht="15.5">
      <c r="A6" s="154">
        <v>4</v>
      </c>
      <c r="B6" s="700" t="s">
        <v>847</v>
      </c>
      <c r="C6" s="708"/>
      <c r="D6" s="700"/>
      <c r="E6" s="702"/>
      <c r="F6" s="789" t="s">
        <v>417</v>
      </c>
      <c r="G6" s="703" t="s">
        <v>891</v>
      </c>
      <c r="H6" s="703"/>
      <c r="I6" s="725" t="s">
        <v>872</v>
      </c>
      <c r="J6" s="725" t="s">
        <v>15</v>
      </c>
      <c r="K6" s="725" t="s">
        <v>418</v>
      </c>
      <c r="L6" s="726">
        <v>8355</v>
      </c>
      <c r="M6" s="725" t="s">
        <v>419</v>
      </c>
      <c r="N6" s="710"/>
      <c r="O6" s="700" t="s">
        <v>420</v>
      </c>
      <c r="P6" s="805" t="s">
        <v>800</v>
      </c>
      <c r="Q6" s="713" t="s">
        <v>1056</v>
      </c>
      <c r="R6" s="770"/>
      <c r="S6" s="116">
        <v>4</v>
      </c>
      <c r="T6" s="117"/>
    </row>
    <row r="7" spans="1:20" ht="15.5">
      <c r="A7" s="154">
        <v>5</v>
      </c>
      <c r="B7" s="700" t="s">
        <v>847</v>
      </c>
      <c r="C7" s="700"/>
      <c r="D7" s="700"/>
      <c r="E7" s="700"/>
      <c r="F7" s="791" t="s">
        <v>261</v>
      </c>
      <c r="G7" s="703" t="s">
        <v>1107</v>
      </c>
      <c r="H7" s="703"/>
      <c r="I7" s="759" t="s">
        <v>180</v>
      </c>
      <c r="J7" s="759" t="s">
        <v>1088</v>
      </c>
      <c r="K7" s="725"/>
      <c r="L7" s="726"/>
      <c r="M7" s="725"/>
      <c r="N7" s="710"/>
      <c r="O7" s="700" t="s">
        <v>1086</v>
      </c>
      <c r="P7" s="804" t="s">
        <v>1087</v>
      </c>
      <c r="Q7" s="713" t="s">
        <v>1056</v>
      </c>
      <c r="R7" s="771"/>
      <c r="S7" s="116">
        <v>5</v>
      </c>
      <c r="T7" s="117"/>
    </row>
    <row r="8" spans="1:20" ht="15.5">
      <c r="A8" s="154">
        <v>6</v>
      </c>
      <c r="B8" s="700" t="s">
        <v>847</v>
      </c>
      <c r="C8" s="714"/>
      <c r="D8" s="714"/>
      <c r="E8" s="714"/>
      <c r="F8" s="810" t="s">
        <v>261</v>
      </c>
      <c r="G8" s="703" t="s">
        <v>1104</v>
      </c>
      <c r="H8" s="714"/>
      <c r="I8" s="774" t="s">
        <v>554</v>
      </c>
      <c r="J8" s="775" t="s">
        <v>1050</v>
      </c>
      <c r="K8" s="714"/>
      <c r="L8" s="714"/>
      <c r="M8" s="714"/>
      <c r="N8" s="762"/>
      <c r="O8" s="700" t="s">
        <v>1105</v>
      </c>
      <c r="P8" s="804" t="s">
        <v>1106</v>
      </c>
      <c r="Q8" s="713" t="s">
        <v>1056</v>
      </c>
      <c r="R8" s="770"/>
      <c r="S8" s="116">
        <v>6</v>
      </c>
      <c r="T8" s="117"/>
    </row>
    <row r="9" spans="1:20" ht="15.5">
      <c r="A9" s="154">
        <v>7</v>
      </c>
      <c r="B9" s="700" t="s">
        <v>847</v>
      </c>
      <c r="C9" s="700"/>
      <c r="D9" s="772"/>
      <c r="E9" s="700"/>
      <c r="F9" s="789" t="s">
        <v>261</v>
      </c>
      <c r="G9" s="703" t="s">
        <v>1043</v>
      </c>
      <c r="H9" s="703"/>
      <c r="I9" s="725" t="s">
        <v>81</v>
      </c>
      <c r="J9" s="725" t="s">
        <v>372</v>
      </c>
      <c r="K9" s="725" t="s">
        <v>875</v>
      </c>
      <c r="L9" s="726">
        <v>4800</v>
      </c>
      <c r="M9" s="725" t="s">
        <v>856</v>
      </c>
      <c r="N9" s="710"/>
      <c r="O9" s="700" t="s">
        <v>373</v>
      </c>
      <c r="P9" s="805" t="s">
        <v>374</v>
      </c>
      <c r="Q9" s="713" t="s">
        <v>1056</v>
      </c>
      <c r="R9" s="770"/>
      <c r="S9" s="116">
        <v>7</v>
      </c>
      <c r="T9" s="117"/>
    </row>
    <row r="10" spans="1:20" ht="15.5">
      <c r="A10" s="154">
        <v>8</v>
      </c>
      <c r="B10" s="700" t="s">
        <v>847</v>
      </c>
      <c r="C10" s="700"/>
      <c r="D10" s="700"/>
      <c r="E10" s="700"/>
      <c r="F10" s="808" t="s">
        <v>261</v>
      </c>
      <c r="G10" s="703" t="s">
        <v>1044</v>
      </c>
      <c r="H10" s="703"/>
      <c r="I10" s="703" t="s">
        <v>852</v>
      </c>
      <c r="J10" s="703" t="s">
        <v>784</v>
      </c>
      <c r="K10" s="703" t="s">
        <v>853</v>
      </c>
      <c r="L10" s="700">
        <v>8400</v>
      </c>
      <c r="M10" s="703" t="s">
        <v>228</v>
      </c>
      <c r="N10" s="710"/>
      <c r="O10" s="700" t="s">
        <v>786</v>
      </c>
      <c r="P10" s="804" t="s">
        <v>787</v>
      </c>
      <c r="Q10" s="713" t="s">
        <v>1056</v>
      </c>
      <c r="R10" s="771"/>
      <c r="S10" s="116">
        <v>8</v>
      </c>
      <c r="T10" s="117"/>
    </row>
    <row r="11" spans="1:20" ht="15.5">
      <c r="A11" s="154">
        <v>9</v>
      </c>
      <c r="B11" s="700" t="s">
        <v>847</v>
      </c>
      <c r="C11" s="700"/>
      <c r="D11" s="700"/>
      <c r="E11" s="700"/>
      <c r="F11" s="809" t="s">
        <v>1092</v>
      </c>
      <c r="G11" s="703" t="s">
        <v>1095</v>
      </c>
      <c r="H11" s="703"/>
      <c r="I11" s="703" t="s">
        <v>21</v>
      </c>
      <c r="J11" s="703" t="s">
        <v>1093</v>
      </c>
      <c r="K11" s="703"/>
      <c r="L11" s="726"/>
      <c r="M11" s="703"/>
      <c r="N11" s="710"/>
      <c r="O11" s="700" t="s">
        <v>669</v>
      </c>
      <c r="P11" s="806" t="s">
        <v>1094</v>
      </c>
      <c r="Q11" s="713" t="s">
        <v>1056</v>
      </c>
      <c r="R11" s="771"/>
      <c r="S11" s="116">
        <v>9</v>
      </c>
      <c r="T11" s="117"/>
    </row>
    <row r="12" spans="1:20" ht="15.5">
      <c r="A12" s="154">
        <v>10</v>
      </c>
      <c r="B12" s="700" t="s">
        <v>847</v>
      </c>
      <c r="C12" s="708"/>
      <c r="D12" s="700"/>
      <c r="E12" s="702"/>
      <c r="F12" s="791" t="s">
        <v>264</v>
      </c>
      <c r="G12" s="703" t="s">
        <v>1041</v>
      </c>
      <c r="H12" s="703"/>
      <c r="I12" s="773" t="s">
        <v>1057</v>
      </c>
      <c r="J12" s="773" t="s">
        <v>1058</v>
      </c>
      <c r="K12" s="757"/>
      <c r="L12" s="726"/>
      <c r="M12" s="757"/>
      <c r="N12" s="710"/>
      <c r="O12" s="700" t="s">
        <v>1059</v>
      </c>
      <c r="P12" s="804" t="s">
        <v>1060</v>
      </c>
      <c r="Q12" s="713" t="s">
        <v>1056</v>
      </c>
      <c r="R12" s="771"/>
      <c r="S12" s="116">
        <v>10</v>
      </c>
      <c r="T12" s="117"/>
    </row>
    <row r="13" spans="1:20" ht="15.5">
      <c r="A13" s="154">
        <v>11</v>
      </c>
      <c r="B13" s="700"/>
      <c r="C13" s="700" t="s">
        <v>1048</v>
      </c>
      <c r="D13" s="700"/>
      <c r="E13" s="700"/>
      <c r="F13" s="792" t="s">
        <v>261</v>
      </c>
      <c r="G13" s="703" t="s">
        <v>1051</v>
      </c>
      <c r="H13" s="703"/>
      <c r="I13" s="703" t="s">
        <v>445</v>
      </c>
      <c r="J13" s="703" t="s">
        <v>444</v>
      </c>
      <c r="K13" s="703" t="s">
        <v>1096</v>
      </c>
      <c r="L13" s="726">
        <v>6064</v>
      </c>
      <c r="M13" s="776" t="s">
        <v>1097</v>
      </c>
      <c r="N13" s="710"/>
      <c r="O13" s="700" t="s">
        <v>447</v>
      </c>
      <c r="P13" s="804" t="s">
        <v>1052</v>
      </c>
      <c r="Q13" s="713" t="s">
        <v>1056</v>
      </c>
      <c r="R13" s="770"/>
      <c r="S13" s="116">
        <v>11</v>
      </c>
      <c r="T13" s="117"/>
    </row>
    <row r="14" spans="1:20" ht="15.5">
      <c r="A14" s="154">
        <v>12</v>
      </c>
      <c r="B14" s="700"/>
      <c r="C14" s="700" t="s">
        <v>705</v>
      </c>
      <c r="D14" s="700"/>
      <c r="E14" s="702"/>
      <c r="F14" s="789" t="s">
        <v>266</v>
      </c>
      <c r="G14" s="703" t="s">
        <v>1098</v>
      </c>
      <c r="H14" s="703"/>
      <c r="I14" s="725" t="s">
        <v>16</v>
      </c>
      <c r="J14" s="725" t="s">
        <v>858</v>
      </c>
      <c r="K14" s="725" t="s">
        <v>859</v>
      </c>
      <c r="L14" s="726">
        <v>4900</v>
      </c>
      <c r="M14" s="725" t="s">
        <v>860</v>
      </c>
      <c r="N14" s="710"/>
      <c r="O14" s="700" t="s">
        <v>1046</v>
      </c>
      <c r="P14" s="805" t="s">
        <v>861</v>
      </c>
      <c r="Q14" s="713" t="s">
        <v>1056</v>
      </c>
      <c r="R14" s="770"/>
      <c r="S14" s="116">
        <v>12</v>
      </c>
      <c r="T14" s="117"/>
    </row>
    <row r="15" spans="1:20" ht="15.5">
      <c r="A15" s="154">
        <v>13</v>
      </c>
      <c r="B15" s="700"/>
      <c r="C15" s="700" t="s">
        <v>705</v>
      </c>
      <c r="D15" s="700"/>
      <c r="E15" s="700"/>
      <c r="F15" s="793" t="s">
        <v>263</v>
      </c>
      <c r="G15" s="703" t="s">
        <v>1117</v>
      </c>
      <c r="H15" s="703"/>
      <c r="I15" s="777" t="s">
        <v>139</v>
      </c>
      <c r="J15" s="777" t="s">
        <v>80</v>
      </c>
      <c r="K15" s="725"/>
      <c r="L15" s="726"/>
      <c r="M15" s="725"/>
      <c r="N15" s="710"/>
      <c r="O15" s="700" t="s">
        <v>327</v>
      </c>
      <c r="P15" s="804" t="s">
        <v>354</v>
      </c>
      <c r="Q15" s="761" t="s">
        <v>1056</v>
      </c>
      <c r="R15" s="770"/>
      <c r="S15" s="116">
        <v>13</v>
      </c>
      <c r="T15" s="117"/>
    </row>
    <row r="16" spans="1:20" ht="15.5">
      <c r="A16" s="154">
        <v>14</v>
      </c>
      <c r="B16" s="700"/>
      <c r="C16" s="700" t="s">
        <v>705</v>
      </c>
      <c r="D16" s="700"/>
      <c r="E16" s="700"/>
      <c r="F16" s="789" t="s">
        <v>261</v>
      </c>
      <c r="G16" s="703" t="s">
        <v>879</v>
      </c>
      <c r="H16" s="703"/>
      <c r="I16" s="703" t="s">
        <v>173</v>
      </c>
      <c r="J16" s="703" t="s">
        <v>1073</v>
      </c>
      <c r="K16" s="703"/>
      <c r="L16" s="726"/>
      <c r="M16" s="757"/>
      <c r="N16" s="710"/>
      <c r="O16" s="700" t="s">
        <v>1074</v>
      </c>
      <c r="P16" s="804" t="s">
        <v>1075</v>
      </c>
      <c r="Q16" s="713" t="s">
        <v>1056</v>
      </c>
      <c r="R16" s="770"/>
      <c r="S16" s="116">
        <v>14</v>
      </c>
      <c r="T16" s="117"/>
    </row>
    <row r="17" spans="1:20" ht="15.5">
      <c r="A17" s="154">
        <v>15</v>
      </c>
      <c r="B17" s="700"/>
      <c r="C17" s="700" t="s">
        <v>705</v>
      </c>
      <c r="D17" s="700"/>
      <c r="E17" s="700"/>
      <c r="F17" s="789" t="s">
        <v>261</v>
      </c>
      <c r="G17" s="703" t="s">
        <v>1114</v>
      </c>
      <c r="H17" s="703"/>
      <c r="I17" s="725" t="s">
        <v>50</v>
      </c>
      <c r="J17" s="725" t="s">
        <v>854</v>
      </c>
      <c r="K17" s="725" t="s">
        <v>855</v>
      </c>
      <c r="L17" s="726">
        <v>4800</v>
      </c>
      <c r="M17" s="725" t="s">
        <v>856</v>
      </c>
      <c r="N17" s="710"/>
      <c r="O17" s="700" t="s">
        <v>763</v>
      </c>
      <c r="P17" s="805" t="s">
        <v>764</v>
      </c>
      <c r="Q17" s="713" t="s">
        <v>1056</v>
      </c>
      <c r="R17" s="770"/>
      <c r="S17" s="116">
        <v>15</v>
      </c>
      <c r="T17" s="117"/>
    </row>
    <row r="18" spans="1:20" ht="15.5">
      <c r="A18" s="154">
        <v>16</v>
      </c>
      <c r="B18" s="700"/>
      <c r="C18" s="700"/>
      <c r="D18" s="700" t="s">
        <v>659</v>
      </c>
      <c r="E18" s="700"/>
      <c r="F18" s="792" t="s">
        <v>261</v>
      </c>
      <c r="G18" s="703" t="s">
        <v>878</v>
      </c>
      <c r="H18" s="703"/>
      <c r="I18" s="703" t="s">
        <v>1061</v>
      </c>
      <c r="J18" s="703" t="s">
        <v>983</v>
      </c>
      <c r="K18" s="703"/>
      <c r="L18" s="700"/>
      <c r="M18" s="703"/>
      <c r="N18" s="710"/>
      <c r="O18" s="700" t="s">
        <v>1062</v>
      </c>
      <c r="P18" s="804" t="s">
        <v>1063</v>
      </c>
      <c r="Q18" s="713" t="s">
        <v>1056</v>
      </c>
      <c r="R18" s="770"/>
      <c r="S18" s="116">
        <v>16</v>
      </c>
      <c r="T18" s="117"/>
    </row>
    <row r="19" spans="1:20" ht="15.5">
      <c r="A19" s="154">
        <v>17</v>
      </c>
      <c r="B19" s="700"/>
      <c r="C19" s="700"/>
      <c r="D19" s="714" t="s">
        <v>659</v>
      </c>
      <c r="E19" s="714"/>
      <c r="F19" s="788" t="s">
        <v>261</v>
      </c>
      <c r="G19" s="703" t="s">
        <v>765</v>
      </c>
      <c r="H19" s="714"/>
      <c r="I19" s="778" t="s">
        <v>1101</v>
      </c>
      <c r="J19" s="778" t="s">
        <v>981</v>
      </c>
      <c r="K19" s="714"/>
      <c r="L19" s="714"/>
      <c r="M19" s="714"/>
      <c r="N19" s="762"/>
      <c r="O19" s="700" t="s">
        <v>1102</v>
      </c>
      <c r="P19" s="804" t="s">
        <v>1103</v>
      </c>
      <c r="Q19" s="713" t="s">
        <v>416</v>
      </c>
      <c r="R19" s="770"/>
      <c r="S19" s="116">
        <v>17</v>
      </c>
      <c r="T19" s="117"/>
    </row>
    <row r="20" spans="1:20" ht="15.5">
      <c r="A20" s="154">
        <v>18</v>
      </c>
      <c r="B20" s="700"/>
      <c r="C20" s="700"/>
      <c r="D20" s="700" t="s">
        <v>659</v>
      </c>
      <c r="E20" s="702"/>
      <c r="F20" s="789" t="s">
        <v>265</v>
      </c>
      <c r="G20" s="703" t="s">
        <v>877</v>
      </c>
      <c r="H20" s="703"/>
      <c r="I20" s="759" t="s">
        <v>81</v>
      </c>
      <c r="J20" s="759" t="s">
        <v>64</v>
      </c>
      <c r="K20" s="759" t="s">
        <v>1080</v>
      </c>
      <c r="L20" s="726">
        <v>8357</v>
      </c>
      <c r="M20" s="759" t="s">
        <v>304</v>
      </c>
      <c r="N20" s="710" t="s">
        <v>260</v>
      </c>
      <c r="O20" s="700" t="s">
        <v>1081</v>
      </c>
      <c r="P20" s="804" t="s">
        <v>1082</v>
      </c>
      <c r="Q20" s="713" t="s">
        <v>1056</v>
      </c>
      <c r="R20" s="770"/>
      <c r="S20" s="116">
        <v>18</v>
      </c>
      <c r="T20" s="117"/>
    </row>
    <row r="21" spans="1:20" ht="15.5">
      <c r="A21" s="154">
        <v>19</v>
      </c>
      <c r="B21" s="700"/>
      <c r="C21" s="700"/>
      <c r="D21" s="700" t="s">
        <v>659</v>
      </c>
      <c r="E21" s="714"/>
      <c r="F21" s="791" t="s">
        <v>263</v>
      </c>
      <c r="G21" s="703" t="s">
        <v>1116</v>
      </c>
      <c r="H21" s="703"/>
      <c r="I21" s="703" t="s">
        <v>139</v>
      </c>
      <c r="J21" s="703" t="s">
        <v>80</v>
      </c>
      <c r="K21" s="703"/>
      <c r="L21" s="822"/>
      <c r="M21" s="703"/>
      <c r="N21" s="710"/>
      <c r="O21" s="700" t="s">
        <v>327</v>
      </c>
      <c r="P21" s="806" t="s">
        <v>354</v>
      </c>
      <c r="Q21" s="713" t="s">
        <v>1056</v>
      </c>
      <c r="R21" s="770"/>
      <c r="S21" s="116">
        <v>19</v>
      </c>
      <c r="T21" s="117"/>
    </row>
    <row r="22" spans="1:20" ht="15.5">
      <c r="A22" s="154">
        <v>20</v>
      </c>
      <c r="B22" s="714"/>
      <c r="C22" s="700"/>
      <c r="D22" s="700" t="s">
        <v>659</v>
      </c>
      <c r="E22" s="702"/>
      <c r="F22" s="789" t="s">
        <v>261</v>
      </c>
      <c r="G22" s="703" t="s">
        <v>881</v>
      </c>
      <c r="H22" s="703"/>
      <c r="I22" s="703" t="s">
        <v>1065</v>
      </c>
      <c r="J22" s="703" t="s">
        <v>254</v>
      </c>
      <c r="K22" s="703" t="s">
        <v>1037</v>
      </c>
      <c r="L22" s="726">
        <v>3422</v>
      </c>
      <c r="M22" s="703" t="s">
        <v>255</v>
      </c>
      <c r="N22" s="710"/>
      <c r="O22" s="700" t="s">
        <v>352</v>
      </c>
      <c r="P22" s="805" t="s">
        <v>319</v>
      </c>
      <c r="Q22" s="713" t="s">
        <v>1056</v>
      </c>
      <c r="R22" s="770"/>
      <c r="S22" s="116">
        <v>20</v>
      </c>
      <c r="T22" s="117"/>
    </row>
    <row r="23" spans="1:20" ht="15.5">
      <c r="A23" s="154">
        <v>21</v>
      </c>
      <c r="B23" s="714"/>
      <c r="C23" s="700"/>
      <c r="D23" s="700" t="s">
        <v>659</v>
      </c>
      <c r="E23" s="702"/>
      <c r="F23" s="789" t="s">
        <v>264</v>
      </c>
      <c r="G23" s="703" t="s">
        <v>1099</v>
      </c>
      <c r="H23" s="703"/>
      <c r="I23" s="725" t="s">
        <v>214</v>
      </c>
      <c r="J23" s="725" t="s">
        <v>256</v>
      </c>
      <c r="K23" s="703" t="s">
        <v>1035</v>
      </c>
      <c r="L23" s="726">
        <v>8352</v>
      </c>
      <c r="M23" s="703" t="s">
        <v>1036</v>
      </c>
      <c r="N23" s="710"/>
      <c r="O23" s="700" t="s">
        <v>257</v>
      </c>
      <c r="P23" s="804" t="s">
        <v>353</v>
      </c>
      <c r="Q23" s="713" t="s">
        <v>1056</v>
      </c>
      <c r="R23" s="770"/>
      <c r="S23" s="116">
        <v>21</v>
      </c>
      <c r="T23" s="117"/>
    </row>
    <row r="24" spans="1:20" ht="15.5">
      <c r="A24" s="154">
        <v>22</v>
      </c>
      <c r="B24" s="700"/>
      <c r="C24" s="700"/>
      <c r="D24" s="700" t="s">
        <v>659</v>
      </c>
      <c r="E24" s="702"/>
      <c r="F24" s="791" t="s">
        <v>261</v>
      </c>
      <c r="G24" s="703" t="s">
        <v>1121</v>
      </c>
      <c r="H24" s="703"/>
      <c r="I24" s="759" t="s">
        <v>1089</v>
      </c>
      <c r="J24" s="759" t="s">
        <v>1090</v>
      </c>
      <c r="K24" s="725"/>
      <c r="L24" s="726"/>
      <c r="M24" s="725"/>
      <c r="N24" s="710"/>
      <c r="O24" s="700" t="s">
        <v>1091</v>
      </c>
      <c r="P24" s="804" t="s">
        <v>739</v>
      </c>
      <c r="Q24" s="713" t="s">
        <v>1056</v>
      </c>
      <c r="R24" s="770"/>
      <c r="S24" s="116">
        <v>22</v>
      </c>
      <c r="T24" s="117"/>
    </row>
    <row r="25" spans="1:20" ht="15.5">
      <c r="A25" s="154">
        <v>23</v>
      </c>
      <c r="B25" s="700"/>
      <c r="C25" s="700"/>
      <c r="D25" s="700" t="s">
        <v>659</v>
      </c>
      <c r="E25" s="714"/>
      <c r="F25" s="798" t="s">
        <v>261</v>
      </c>
      <c r="G25" s="703" t="s">
        <v>1118</v>
      </c>
      <c r="H25" s="714"/>
      <c r="I25" s="703" t="s">
        <v>22</v>
      </c>
      <c r="J25" s="703" t="s">
        <v>677</v>
      </c>
      <c r="K25" s="714"/>
      <c r="L25" s="714"/>
      <c r="M25" s="714"/>
      <c r="N25" s="762"/>
      <c r="O25" s="700" t="s">
        <v>674</v>
      </c>
      <c r="P25" s="804" t="s">
        <v>673</v>
      </c>
      <c r="Q25" s="713" t="s">
        <v>1056</v>
      </c>
      <c r="R25" s="770"/>
      <c r="S25" s="116">
        <v>23</v>
      </c>
      <c r="T25" s="117"/>
    </row>
    <row r="26" spans="1:20" ht="15.5">
      <c r="A26" s="154">
        <v>24</v>
      </c>
      <c r="B26" s="714"/>
      <c r="C26" s="700"/>
      <c r="D26" s="796" t="s">
        <v>659</v>
      </c>
      <c r="E26" s="797"/>
      <c r="F26" s="799" t="s">
        <v>261</v>
      </c>
      <c r="G26" s="800" t="s">
        <v>895</v>
      </c>
      <c r="H26" s="171"/>
      <c r="I26" s="800" t="s">
        <v>18</v>
      </c>
      <c r="J26" s="800" t="s">
        <v>70</v>
      </c>
      <c r="K26" s="171" t="s">
        <v>892</v>
      </c>
      <c r="L26" s="801">
        <v>5043</v>
      </c>
      <c r="M26" s="802" t="s">
        <v>893</v>
      </c>
      <c r="N26" s="447"/>
      <c r="O26" s="796" t="s">
        <v>1008</v>
      </c>
      <c r="P26" s="807" t="s">
        <v>894</v>
      </c>
      <c r="Q26" s="803" t="s">
        <v>1056</v>
      </c>
      <c r="R26" s="770"/>
      <c r="S26" s="116">
        <v>24</v>
      </c>
      <c r="T26" s="117"/>
    </row>
    <row r="27" spans="1:20" ht="15.5">
      <c r="A27" s="154">
        <v>25</v>
      </c>
      <c r="B27" s="700"/>
      <c r="C27" s="700"/>
      <c r="D27" s="700" t="s">
        <v>659</v>
      </c>
      <c r="E27" s="702"/>
      <c r="F27" s="792" t="s">
        <v>266</v>
      </c>
      <c r="G27" s="703" t="s">
        <v>896</v>
      </c>
      <c r="H27" s="703"/>
      <c r="I27" s="703" t="s">
        <v>1076</v>
      </c>
      <c r="J27" s="703" t="s">
        <v>710</v>
      </c>
      <c r="K27" s="703" t="s">
        <v>1077</v>
      </c>
      <c r="L27" s="700">
        <v>9100</v>
      </c>
      <c r="M27" s="703" t="s">
        <v>426</v>
      </c>
      <c r="N27" s="710"/>
      <c r="O27" s="700" t="s">
        <v>1078</v>
      </c>
      <c r="P27" s="804" t="s">
        <v>1079</v>
      </c>
      <c r="Q27" s="713" t="s">
        <v>1056</v>
      </c>
      <c r="R27" s="770"/>
      <c r="S27" s="116">
        <v>25</v>
      </c>
      <c r="T27" s="117"/>
    </row>
    <row r="28" spans="1:20" ht="15.5">
      <c r="A28" s="154">
        <v>26</v>
      </c>
      <c r="B28" s="714"/>
      <c r="C28" s="700"/>
      <c r="D28" s="700" t="s">
        <v>659</v>
      </c>
      <c r="E28" s="702"/>
      <c r="F28" s="789" t="s">
        <v>261</v>
      </c>
      <c r="G28" s="703" t="s">
        <v>1115</v>
      </c>
      <c r="H28" s="703"/>
      <c r="I28" s="725" t="s">
        <v>50</v>
      </c>
      <c r="J28" s="779" t="s">
        <v>430</v>
      </c>
      <c r="K28" s="725" t="s">
        <v>855</v>
      </c>
      <c r="L28" s="726">
        <v>4800</v>
      </c>
      <c r="M28" s="725" t="s">
        <v>856</v>
      </c>
      <c r="N28" s="710"/>
      <c r="O28" s="700" t="s">
        <v>763</v>
      </c>
      <c r="P28" s="805" t="s">
        <v>764</v>
      </c>
      <c r="Q28" s="713" t="s">
        <v>1056</v>
      </c>
      <c r="R28" s="770"/>
      <c r="S28" s="116">
        <v>26</v>
      </c>
      <c r="T28" s="117"/>
    </row>
    <row r="29" spans="1:20" ht="15.5">
      <c r="A29" s="154">
        <v>27</v>
      </c>
      <c r="B29" s="700"/>
      <c r="C29" s="700"/>
      <c r="D29" s="700"/>
      <c r="E29" s="702" t="s">
        <v>658</v>
      </c>
      <c r="F29" s="789" t="s">
        <v>261</v>
      </c>
      <c r="G29" s="703" t="s">
        <v>834</v>
      </c>
      <c r="H29" s="703"/>
      <c r="I29" s="725" t="s">
        <v>22</v>
      </c>
      <c r="J29" s="757" t="s">
        <v>866</v>
      </c>
      <c r="K29" s="757" t="s">
        <v>867</v>
      </c>
      <c r="L29" s="726">
        <v>8507</v>
      </c>
      <c r="M29" s="757" t="s">
        <v>868</v>
      </c>
      <c r="N29" s="710"/>
      <c r="O29" s="700" t="s">
        <v>1064</v>
      </c>
      <c r="P29" s="805" t="s">
        <v>1019</v>
      </c>
      <c r="Q29" s="713" t="s">
        <v>1056</v>
      </c>
      <c r="R29" s="780"/>
      <c r="S29" s="116">
        <v>27</v>
      </c>
      <c r="T29" s="117"/>
    </row>
    <row r="30" spans="1:20" ht="15.5">
      <c r="A30" s="154">
        <v>28</v>
      </c>
      <c r="B30" s="700"/>
      <c r="C30" s="700"/>
      <c r="D30" s="700"/>
      <c r="E30" s="702" t="s">
        <v>658</v>
      </c>
      <c r="F30" s="789" t="s">
        <v>727</v>
      </c>
      <c r="G30" s="703" t="s">
        <v>1034</v>
      </c>
      <c r="H30" s="703"/>
      <c r="I30" s="703" t="s">
        <v>1009</v>
      </c>
      <c r="J30" s="703" t="s">
        <v>1022</v>
      </c>
      <c r="K30" s="703" t="s">
        <v>1010</v>
      </c>
      <c r="L30" s="726">
        <v>9443</v>
      </c>
      <c r="M30" s="703" t="s">
        <v>292</v>
      </c>
      <c r="N30" s="710"/>
      <c r="O30" s="700" t="s">
        <v>1023</v>
      </c>
      <c r="P30" s="804" t="s">
        <v>1367</v>
      </c>
      <c r="Q30" s="713" t="s">
        <v>1056</v>
      </c>
      <c r="R30" s="771"/>
      <c r="S30" s="116">
        <v>28</v>
      </c>
      <c r="T30" s="117"/>
    </row>
    <row r="31" spans="1:20" ht="15.5">
      <c r="A31" s="154">
        <v>29</v>
      </c>
      <c r="B31" s="700"/>
      <c r="C31" s="700"/>
      <c r="D31" s="700"/>
      <c r="E31" s="700" t="s">
        <v>658</v>
      </c>
      <c r="F31" s="789" t="s">
        <v>265</v>
      </c>
      <c r="G31" s="703" t="s">
        <v>876</v>
      </c>
      <c r="H31" s="703"/>
      <c r="I31" s="759" t="s">
        <v>290</v>
      </c>
      <c r="J31" s="759" t="s">
        <v>930</v>
      </c>
      <c r="K31" s="759" t="s">
        <v>1083</v>
      </c>
      <c r="L31" s="726">
        <v>8353</v>
      </c>
      <c r="M31" s="759" t="s">
        <v>874</v>
      </c>
      <c r="N31" s="710" t="s">
        <v>260</v>
      </c>
      <c r="O31" s="700" t="s">
        <v>1084</v>
      </c>
      <c r="P31" s="804" t="s">
        <v>1085</v>
      </c>
      <c r="Q31" s="761" t="s">
        <v>1056</v>
      </c>
      <c r="R31" s="780"/>
      <c r="S31" s="116">
        <v>29</v>
      </c>
      <c r="T31" s="117"/>
    </row>
    <row r="32" spans="1:20" ht="15.5">
      <c r="A32" s="154">
        <v>30</v>
      </c>
      <c r="B32" s="700"/>
      <c r="C32" s="700"/>
      <c r="D32" s="700"/>
      <c r="E32" s="702" t="s">
        <v>658</v>
      </c>
      <c r="F32" s="795" t="s">
        <v>265</v>
      </c>
      <c r="G32" s="703" t="s">
        <v>1100</v>
      </c>
      <c r="H32" s="703"/>
      <c r="I32" s="703" t="s">
        <v>180</v>
      </c>
      <c r="J32" s="703" t="s">
        <v>1038</v>
      </c>
      <c r="K32" s="703" t="s">
        <v>1039</v>
      </c>
      <c r="L32" s="726">
        <v>5223</v>
      </c>
      <c r="M32" s="703" t="s">
        <v>1040</v>
      </c>
      <c r="N32" s="710"/>
      <c r="O32" s="700" t="s">
        <v>687</v>
      </c>
      <c r="P32" s="804" t="s">
        <v>1055</v>
      </c>
      <c r="Q32" s="713" t="s">
        <v>1056</v>
      </c>
      <c r="R32" s="770"/>
      <c r="S32" s="116">
        <v>30</v>
      </c>
      <c r="T32" s="117"/>
    </row>
    <row r="33" spans="1:20" ht="15.5">
      <c r="A33" s="154">
        <v>31</v>
      </c>
      <c r="B33" s="700"/>
      <c r="C33" s="700"/>
      <c r="D33" s="700"/>
      <c r="E33" s="702" t="s">
        <v>658</v>
      </c>
      <c r="F33" s="789" t="s">
        <v>261</v>
      </c>
      <c r="G33" s="703" t="s">
        <v>143</v>
      </c>
      <c r="H33" s="703"/>
      <c r="I33" s="725" t="s">
        <v>81</v>
      </c>
      <c r="J33" s="725" t="s">
        <v>372</v>
      </c>
      <c r="K33" s="725" t="s">
        <v>875</v>
      </c>
      <c r="L33" s="726">
        <v>4800</v>
      </c>
      <c r="M33" s="725" t="s">
        <v>856</v>
      </c>
      <c r="N33" s="710"/>
      <c r="O33" s="700" t="s">
        <v>373</v>
      </c>
      <c r="P33" s="805" t="s">
        <v>374</v>
      </c>
      <c r="Q33" s="713" t="s">
        <v>1056</v>
      </c>
      <c r="R33" s="770"/>
      <c r="S33" s="116">
        <v>31</v>
      </c>
      <c r="T33" s="117"/>
    </row>
    <row r="34" spans="1:20" ht="15.5">
      <c r="A34" s="154">
        <v>32</v>
      </c>
      <c r="B34" s="700"/>
      <c r="C34" s="714"/>
      <c r="D34" s="700"/>
      <c r="E34" s="700" t="s">
        <v>658</v>
      </c>
      <c r="F34" s="789" t="s">
        <v>265</v>
      </c>
      <c r="G34" s="703" t="s">
        <v>449</v>
      </c>
      <c r="H34" s="703"/>
      <c r="I34" s="759" t="s">
        <v>1089</v>
      </c>
      <c r="J34" s="759" t="s">
        <v>1090</v>
      </c>
      <c r="K34" s="703"/>
      <c r="L34" s="726"/>
      <c r="M34" s="703"/>
      <c r="N34" s="710"/>
      <c r="O34" s="700" t="s">
        <v>1091</v>
      </c>
      <c r="P34" s="804" t="s">
        <v>739</v>
      </c>
      <c r="Q34" s="713" t="s">
        <v>1056</v>
      </c>
      <c r="R34" s="770"/>
      <c r="S34" s="116">
        <v>32</v>
      </c>
      <c r="T34" s="117"/>
    </row>
    <row r="35" spans="1:20" ht="15.5">
      <c r="A35" s="154">
        <v>33</v>
      </c>
      <c r="B35" s="700"/>
      <c r="C35" s="741"/>
      <c r="D35" s="700"/>
      <c r="E35" s="700" t="s">
        <v>658</v>
      </c>
      <c r="F35" s="790" t="s">
        <v>1092</v>
      </c>
      <c r="G35" s="703" t="s">
        <v>144</v>
      </c>
      <c r="H35" s="703"/>
      <c r="I35" s="703" t="s">
        <v>461</v>
      </c>
      <c r="J35" s="703" t="s">
        <v>460</v>
      </c>
      <c r="K35" s="703"/>
      <c r="L35" s="726"/>
      <c r="M35" s="703"/>
      <c r="N35" s="710"/>
      <c r="O35" s="700" t="s">
        <v>669</v>
      </c>
      <c r="P35" s="806" t="s">
        <v>1320</v>
      </c>
      <c r="Q35" s="713" t="s">
        <v>1056</v>
      </c>
      <c r="R35" s="770"/>
      <c r="S35" s="116">
        <v>33</v>
      </c>
      <c r="T35" s="117"/>
    </row>
    <row r="36" spans="1:20" ht="15.5">
      <c r="A36" s="154">
        <v>34</v>
      </c>
      <c r="B36" s="700"/>
      <c r="C36" s="714"/>
      <c r="D36" s="700"/>
      <c r="E36" s="700" t="s">
        <v>658</v>
      </c>
      <c r="F36" s="789" t="s">
        <v>261</v>
      </c>
      <c r="G36" s="703" t="s">
        <v>145</v>
      </c>
      <c r="H36" s="703"/>
      <c r="I36" s="725" t="s">
        <v>367</v>
      </c>
      <c r="J36" s="725" t="s">
        <v>375</v>
      </c>
      <c r="K36" s="725" t="s">
        <v>412</v>
      </c>
      <c r="L36" s="726">
        <v>8556</v>
      </c>
      <c r="M36" s="725" t="s">
        <v>413</v>
      </c>
      <c r="N36" s="710" t="s">
        <v>414</v>
      </c>
      <c r="O36" s="700" t="s">
        <v>376</v>
      </c>
      <c r="P36" s="805" t="s">
        <v>450</v>
      </c>
      <c r="Q36" s="713" t="s">
        <v>1056</v>
      </c>
      <c r="R36" s="770"/>
      <c r="S36" s="116">
        <v>34</v>
      </c>
      <c r="T36" s="117"/>
    </row>
    <row r="37" spans="1:20" ht="15.5">
      <c r="A37" s="154">
        <v>34</v>
      </c>
      <c r="B37" s="700"/>
      <c r="C37" s="700"/>
      <c r="D37" s="700"/>
      <c r="E37" s="714"/>
      <c r="F37" s="714"/>
      <c r="G37" s="714"/>
      <c r="H37" s="714"/>
      <c r="I37" s="714"/>
      <c r="J37" s="714"/>
      <c r="K37" s="714"/>
      <c r="L37" s="714"/>
      <c r="M37" s="714"/>
      <c r="N37" s="762"/>
      <c r="O37" s="714"/>
      <c r="P37" s="714"/>
      <c r="Q37" s="714"/>
      <c r="R37" s="770"/>
      <c r="S37" s="116"/>
      <c r="T37" s="117"/>
    </row>
    <row r="38" spans="1:20" ht="15.5">
      <c r="A38" s="154">
        <v>35</v>
      </c>
      <c r="B38" s="163"/>
      <c r="C38" s="165"/>
      <c r="D38" s="163"/>
      <c r="E38" s="196"/>
      <c r="F38" s="722"/>
      <c r="G38" s="698"/>
      <c r="H38" s="699"/>
      <c r="I38" s="751"/>
      <c r="J38" s="751"/>
      <c r="K38" s="291"/>
      <c r="L38" s="723"/>
      <c r="M38" s="291"/>
      <c r="N38" s="257"/>
      <c r="O38" s="259"/>
      <c r="P38" s="724"/>
      <c r="Q38" s="258"/>
      <c r="R38" s="742"/>
      <c r="S38" s="116"/>
      <c r="T38" s="117"/>
    </row>
    <row r="39" spans="1:20" ht="15.5">
      <c r="A39" s="154">
        <v>36</v>
      </c>
      <c r="B39" s="163"/>
      <c r="C39" s="165"/>
      <c r="D39" s="163"/>
      <c r="E39" s="163"/>
      <c r="F39" s="722"/>
      <c r="G39" s="698"/>
      <c r="H39" s="701"/>
      <c r="I39" s="291"/>
      <c r="J39" s="291"/>
      <c r="K39" s="291"/>
      <c r="L39" s="723"/>
      <c r="M39" s="291"/>
      <c r="N39" s="257"/>
      <c r="O39" s="259"/>
      <c r="P39" s="724"/>
      <c r="Q39" s="258"/>
      <c r="R39" s="742"/>
      <c r="S39" s="116"/>
      <c r="T39" s="117"/>
    </row>
    <row r="40" spans="1:20" ht="15.5">
      <c r="A40" s="154">
        <v>37</v>
      </c>
      <c r="B40" s="700"/>
      <c r="C40" s="708"/>
      <c r="D40" s="708"/>
      <c r="E40" s="700"/>
      <c r="F40" s="725"/>
      <c r="G40" s="755"/>
      <c r="H40" s="744"/>
      <c r="I40" s="701"/>
      <c r="J40" s="703"/>
      <c r="K40" s="703"/>
      <c r="L40" s="726"/>
      <c r="M40" s="703"/>
      <c r="N40" s="710"/>
      <c r="O40" s="700"/>
      <c r="P40" s="734"/>
      <c r="Q40" s="713"/>
      <c r="R40" s="742"/>
      <c r="S40" s="116"/>
      <c r="T40" s="117"/>
    </row>
    <row r="41" spans="1:20" ht="15.5">
      <c r="A41" s="154">
        <v>38</v>
      </c>
      <c r="B41" s="700"/>
      <c r="C41" s="700"/>
      <c r="D41" s="708"/>
      <c r="E41" s="702"/>
      <c r="F41" s="725"/>
      <c r="G41" s="755"/>
      <c r="H41" s="744"/>
      <c r="I41" s="752"/>
      <c r="J41" s="725"/>
      <c r="K41" s="725"/>
      <c r="L41" s="726"/>
      <c r="M41" s="725"/>
      <c r="N41" s="710"/>
      <c r="O41" s="700"/>
      <c r="P41" s="727"/>
      <c r="Q41" s="713"/>
      <c r="R41" s="742"/>
      <c r="S41" s="116"/>
      <c r="T41" s="117"/>
    </row>
    <row r="42" spans="1:20" ht="15.5">
      <c r="A42" s="154">
        <v>41</v>
      </c>
      <c r="B42" s="163"/>
      <c r="C42" s="154"/>
      <c r="D42" s="165"/>
      <c r="E42" s="165"/>
      <c r="F42" s="290"/>
      <c r="Q42" s="221"/>
      <c r="R42" s="743"/>
      <c r="S42" s="116"/>
      <c r="T42" s="117"/>
    </row>
    <row r="43" spans="1:20" ht="14">
      <c r="A43" s="154">
        <v>42</v>
      </c>
      <c r="B43" s="163"/>
      <c r="C43" s="163"/>
      <c r="D43" s="154"/>
      <c r="E43" s="154"/>
      <c r="F43" s="290"/>
      <c r="G43" s="855"/>
      <c r="H43" s="856"/>
      <c r="I43" s="291"/>
      <c r="J43" s="291"/>
      <c r="K43" s="291"/>
      <c r="L43" s="259"/>
      <c r="M43" s="291"/>
      <c r="N43" s="257"/>
      <c r="O43" s="259"/>
      <c r="P43" s="292"/>
      <c r="Q43" s="221">
        <f>COUNTIFS(Q3:Q41,"X")</f>
        <v>34</v>
      </c>
      <c r="R43" s="221">
        <f>COUNTIFS(R3:R41,"X")</f>
        <v>0</v>
      </c>
      <c r="S43" s="116"/>
      <c r="T43" s="117"/>
    </row>
    <row r="44" spans="1:20" ht="14">
      <c r="A44" s="154">
        <v>43</v>
      </c>
      <c r="B44" s="163">
        <f>COUNTIFS(B3:B42,"2. L")</f>
        <v>9</v>
      </c>
      <c r="C44" s="154"/>
      <c r="D44" s="165"/>
      <c r="E44" s="165"/>
      <c r="F44" s="695"/>
      <c r="G44" s="860"/>
      <c r="H44" s="861"/>
      <c r="I44" s="314"/>
      <c r="J44" s="314"/>
      <c r="K44" s="314"/>
      <c r="L44" s="315"/>
      <c r="M44" s="314"/>
      <c r="N44" s="257"/>
      <c r="O44" s="259"/>
      <c r="P44" s="697"/>
      <c r="Q44" s="221"/>
      <c r="R44" s="194"/>
      <c r="S44" s="116"/>
      <c r="T44" s="117"/>
    </row>
    <row r="45" spans="1:20" ht="14">
      <c r="A45" s="154">
        <v>44</v>
      </c>
      <c r="B45" s="163">
        <f>COUNTIFS(B3:B43,"3. L")</f>
        <v>1</v>
      </c>
      <c r="C45" s="197">
        <f>COUNTIFS(C3:C43,"1. L")</f>
        <v>4</v>
      </c>
      <c r="D45" s="165"/>
      <c r="E45" s="165"/>
      <c r="F45" s="290"/>
      <c r="G45" s="855"/>
      <c r="H45" s="856"/>
      <c r="I45" s="290"/>
      <c r="J45" s="290"/>
      <c r="K45" s="290"/>
      <c r="L45" s="293"/>
      <c r="M45" s="290"/>
      <c r="N45" s="257"/>
      <c r="O45" s="259"/>
      <c r="P45" s="292"/>
      <c r="Q45" s="221"/>
      <c r="R45" s="194"/>
      <c r="S45" s="116"/>
      <c r="T45" s="117"/>
    </row>
    <row r="46" spans="1:20" ht="14">
      <c r="A46" s="154">
        <v>45</v>
      </c>
      <c r="B46" s="163"/>
      <c r="C46" s="154"/>
      <c r="D46" s="154">
        <f>COUNTIFS(D22:D43,"NLB")</f>
        <v>7</v>
      </c>
      <c r="E46" s="696"/>
      <c r="F46" s="695"/>
      <c r="G46" s="860"/>
      <c r="H46" s="861"/>
      <c r="I46" s="695"/>
      <c r="J46" s="695"/>
      <c r="K46" s="695"/>
      <c r="L46" s="315"/>
      <c r="M46" s="695"/>
      <c r="N46" s="257"/>
      <c r="O46" s="259"/>
      <c r="P46" s="292"/>
      <c r="Q46" s="221"/>
      <c r="R46" s="194"/>
      <c r="S46" s="116"/>
      <c r="T46" s="117"/>
    </row>
    <row r="47" spans="1:20" ht="14">
      <c r="A47" s="154">
        <v>46</v>
      </c>
      <c r="B47" s="196"/>
      <c r="C47" s="166"/>
      <c r="D47" s="708"/>
      <c r="E47" s="154">
        <f>COUNTIFS(E3:E45,"NLA")</f>
        <v>8</v>
      </c>
      <c r="F47" s="290"/>
      <c r="G47" s="855"/>
      <c r="H47" s="856"/>
      <c r="I47" s="290"/>
      <c r="J47" s="290"/>
      <c r="K47" s="290"/>
      <c r="L47" s="293"/>
      <c r="M47" s="290"/>
      <c r="N47" s="257"/>
      <c r="O47" s="259"/>
      <c r="P47" s="292"/>
      <c r="Q47" s="221"/>
      <c r="R47" s="194"/>
      <c r="S47" s="116"/>
      <c r="T47" s="117"/>
    </row>
    <row r="48" spans="1:20" ht="14">
      <c r="A48" s="154">
        <v>47</v>
      </c>
      <c r="B48" s="163"/>
      <c r="C48" s="163"/>
      <c r="D48" s="707"/>
      <c r="E48" s="154"/>
      <c r="F48" s="370"/>
      <c r="G48" s="758" t="s">
        <v>144</v>
      </c>
      <c r="H48" s="699"/>
      <c r="I48" s="291" t="s">
        <v>460</v>
      </c>
      <c r="J48" s="291" t="s">
        <v>461</v>
      </c>
      <c r="K48" s="291" t="s">
        <v>462</v>
      </c>
      <c r="L48" s="723">
        <v>9442</v>
      </c>
      <c r="M48" s="291" t="s">
        <v>463</v>
      </c>
      <c r="N48" s="257"/>
      <c r="O48" s="259" t="s">
        <v>464</v>
      </c>
      <c r="P48" s="760" t="s">
        <v>850</v>
      </c>
      <c r="Q48" s="221"/>
      <c r="R48" s="194"/>
      <c r="S48" s="116"/>
      <c r="T48" s="117"/>
    </row>
    <row r="49" spans="1:25" ht="14">
      <c r="A49" s="154">
        <v>48</v>
      </c>
      <c r="B49" s="164"/>
      <c r="C49" s="700" t="s">
        <v>1048</v>
      </c>
      <c r="D49" s="700"/>
      <c r="E49" s="700"/>
      <c r="F49" s="781" t="s">
        <v>261</v>
      </c>
      <c r="G49" s="703" t="s">
        <v>1051</v>
      </c>
      <c r="H49" s="703"/>
      <c r="I49" s="703" t="s">
        <v>445</v>
      </c>
      <c r="J49" s="703" t="s">
        <v>444</v>
      </c>
      <c r="K49" s="703" t="s">
        <v>1096</v>
      </c>
      <c r="L49" s="726">
        <v>6064</v>
      </c>
      <c r="M49" s="776" t="s">
        <v>1097</v>
      </c>
      <c r="N49" s="710"/>
      <c r="O49" s="700" t="s">
        <v>447</v>
      </c>
      <c r="P49" s="754" t="s">
        <v>1052</v>
      </c>
      <c r="Q49" s="713" t="s">
        <v>1056</v>
      </c>
      <c r="R49" s="194"/>
      <c r="S49" s="116"/>
      <c r="T49" s="117"/>
    </row>
    <row r="50" spans="1:25" ht="14">
      <c r="A50" s="154">
        <v>49</v>
      </c>
      <c r="B50" s="164">
        <f>B44+C45+D46+E47+B45</f>
        <v>29</v>
      </c>
      <c r="C50" s="5"/>
      <c r="D50" s="10"/>
      <c r="E50" s="166"/>
      <c r="F50" s="695" t="s">
        <v>261</v>
      </c>
      <c r="G50" s="698" t="s">
        <v>253</v>
      </c>
      <c r="H50" s="699"/>
      <c r="I50" s="314" t="s">
        <v>444</v>
      </c>
      <c r="J50" s="314" t="s">
        <v>445</v>
      </c>
      <c r="K50" s="314" t="s">
        <v>446</v>
      </c>
      <c r="L50" s="315">
        <v>6055</v>
      </c>
      <c r="M50" s="314" t="s">
        <v>409</v>
      </c>
      <c r="N50" s="257"/>
      <c r="O50" s="259" t="s">
        <v>447</v>
      </c>
      <c r="P50" s="292" t="s">
        <v>448</v>
      </c>
      <c r="Q50" s="258"/>
      <c r="R50" s="194"/>
      <c r="S50" s="116"/>
      <c r="T50" s="117"/>
    </row>
    <row r="51" spans="1:25" ht="14">
      <c r="A51" s="4"/>
      <c r="B51" s="164"/>
      <c r="C51" s="5"/>
      <c r="D51" s="10"/>
      <c r="E51" s="166"/>
      <c r="F51" s="695" t="s">
        <v>264</v>
      </c>
      <c r="G51" s="698" t="s">
        <v>432</v>
      </c>
      <c r="H51" s="699"/>
      <c r="I51" s="314" t="s">
        <v>62</v>
      </c>
      <c r="J51" s="314" t="s">
        <v>381</v>
      </c>
      <c r="K51" s="314" t="s">
        <v>433</v>
      </c>
      <c r="L51" s="315">
        <v>5018</v>
      </c>
      <c r="M51" s="314" t="s">
        <v>434</v>
      </c>
      <c r="N51" s="257"/>
      <c r="O51" s="259" t="s">
        <v>435</v>
      </c>
      <c r="P51" s="292" t="s">
        <v>436</v>
      </c>
      <c r="Q51" s="192"/>
      <c r="R51" s="115"/>
      <c r="S51" s="116"/>
      <c r="T51" s="117"/>
    </row>
    <row r="52" spans="1:25" ht="14">
      <c r="A52" s="4"/>
      <c r="B52" s="164"/>
      <c r="C52" s="8"/>
      <c r="D52" s="10"/>
      <c r="E52" s="10"/>
      <c r="F52" s="682" t="s">
        <v>263</v>
      </c>
      <c r="G52" s="853" t="s">
        <v>316</v>
      </c>
      <c r="H52" s="854"/>
      <c r="I52" s="683" t="s">
        <v>135</v>
      </c>
      <c r="J52" s="683" t="s">
        <v>28</v>
      </c>
      <c r="K52" s="683" t="s">
        <v>350</v>
      </c>
      <c r="L52" s="684">
        <v>5420</v>
      </c>
      <c r="M52" s="682" t="s">
        <v>351</v>
      </c>
      <c r="N52" s="711" t="s">
        <v>170</v>
      </c>
      <c r="O52" s="685" t="s">
        <v>259</v>
      </c>
      <c r="P52" s="686" t="s">
        <v>833</v>
      </c>
      <c r="Q52" s="192"/>
      <c r="R52" s="115"/>
      <c r="S52" s="116"/>
      <c r="T52" s="117"/>
    </row>
    <row r="53" spans="1:25" ht="14">
      <c r="A53" s="4"/>
      <c r="B53" s="164"/>
      <c r="C53" s="8"/>
      <c r="D53" s="10"/>
      <c r="E53" s="10"/>
      <c r="F53" s="695" t="s">
        <v>263</v>
      </c>
      <c r="G53" s="698" t="s">
        <v>421</v>
      </c>
      <c r="H53" s="699"/>
      <c r="I53" s="291" t="s">
        <v>16</v>
      </c>
      <c r="J53" s="291" t="s">
        <v>252</v>
      </c>
      <c r="K53" s="291" t="s">
        <v>317</v>
      </c>
      <c r="L53" s="259">
        <v>9205</v>
      </c>
      <c r="M53" s="291" t="s">
        <v>32</v>
      </c>
      <c r="N53" s="257"/>
      <c r="O53" s="259" t="s">
        <v>318</v>
      </c>
      <c r="P53" s="292" t="s">
        <v>610</v>
      </c>
      <c r="Q53" s="192"/>
      <c r="R53" s="115"/>
      <c r="S53" s="116"/>
      <c r="T53" s="117"/>
    </row>
    <row r="54" spans="1:25" ht="14">
      <c r="A54" s="4"/>
      <c r="B54" s="164"/>
      <c r="C54" s="8"/>
      <c r="D54" s="10"/>
      <c r="E54" s="10"/>
      <c r="F54" s="695" t="s">
        <v>266</v>
      </c>
      <c r="G54" s="698" t="s">
        <v>422</v>
      </c>
      <c r="H54" s="699"/>
      <c r="I54" s="291" t="s">
        <v>423</v>
      </c>
      <c r="J54" s="291" t="s">
        <v>424</v>
      </c>
      <c r="K54" s="291" t="s">
        <v>425</v>
      </c>
      <c r="L54" s="315">
        <v>9100</v>
      </c>
      <c r="M54" s="291" t="s">
        <v>426</v>
      </c>
      <c r="N54" s="257" t="s">
        <v>427</v>
      </c>
      <c r="O54" s="259" t="s">
        <v>428</v>
      </c>
      <c r="P54" s="292" t="s">
        <v>429</v>
      </c>
      <c r="Q54" s="192"/>
      <c r="R54" s="115"/>
      <c r="S54" s="116"/>
      <c r="T54" s="117"/>
    </row>
    <row r="55" spans="1:25" ht="14">
      <c r="A55" s="4"/>
      <c r="B55" s="164"/>
      <c r="C55" s="8"/>
      <c r="D55" s="10"/>
      <c r="E55" s="10"/>
      <c r="F55" s="291" t="s">
        <v>266</v>
      </c>
      <c r="G55" s="698" t="s">
        <v>344</v>
      </c>
      <c r="H55" s="699"/>
      <c r="I55" s="291" t="s">
        <v>69</v>
      </c>
      <c r="J55" s="291" t="s">
        <v>345</v>
      </c>
      <c r="K55" s="291" t="s">
        <v>346</v>
      </c>
      <c r="L55" s="259">
        <v>8356</v>
      </c>
      <c r="M55" s="291" t="s">
        <v>347</v>
      </c>
      <c r="N55" s="257" t="s">
        <v>348</v>
      </c>
      <c r="O55" s="259" t="s">
        <v>399</v>
      </c>
      <c r="P55" s="292" t="s">
        <v>349</v>
      </c>
      <c r="Q55" s="192"/>
      <c r="R55" s="115"/>
      <c r="S55" s="116"/>
      <c r="T55" s="117"/>
    </row>
    <row r="56" spans="1:25" ht="14">
      <c r="A56" s="4"/>
      <c r="B56" s="164"/>
      <c r="C56" s="5"/>
      <c r="D56" s="10"/>
      <c r="E56" s="10"/>
      <c r="F56" s="722" t="s">
        <v>267</v>
      </c>
      <c r="G56" s="698" t="s">
        <v>753</v>
      </c>
      <c r="H56" s="699"/>
      <c r="I56" s="722" t="s">
        <v>233</v>
      </c>
      <c r="J56" s="722" t="s">
        <v>234</v>
      </c>
      <c r="K56" s="722" t="s">
        <v>408</v>
      </c>
      <c r="L56" s="723">
        <v>8200</v>
      </c>
      <c r="M56" s="722" t="s">
        <v>25</v>
      </c>
      <c r="N56" s="257"/>
      <c r="O56" s="259" t="s">
        <v>467</v>
      </c>
      <c r="P56" s="731" t="s">
        <v>235</v>
      </c>
      <c r="Q56" s="192"/>
      <c r="R56" s="115"/>
      <c r="S56" s="116"/>
      <c r="T56" s="117"/>
    </row>
    <row r="57" spans="1:25" ht="14">
      <c r="F57" s="722" t="s">
        <v>364</v>
      </c>
      <c r="G57" s="698" t="s">
        <v>396</v>
      </c>
      <c r="H57" s="699"/>
      <c r="I57" s="722" t="s">
        <v>75</v>
      </c>
      <c r="J57" s="722" t="s">
        <v>886</v>
      </c>
      <c r="K57" s="722" t="s">
        <v>887</v>
      </c>
      <c r="L57" s="723">
        <v>5058</v>
      </c>
      <c r="M57" s="722" t="s">
        <v>888</v>
      </c>
      <c r="N57" s="257"/>
      <c r="O57" s="259" t="s">
        <v>889</v>
      </c>
      <c r="P57" s="724" t="s">
        <v>890</v>
      </c>
    </row>
    <row r="58" spans="1:25" ht="14.5" customHeight="1">
      <c r="F58" s="722" t="s">
        <v>261</v>
      </c>
      <c r="G58" s="698" t="s">
        <v>846</v>
      </c>
      <c r="H58" s="699"/>
      <c r="I58" s="722" t="s">
        <v>451</v>
      </c>
      <c r="J58" s="722" t="s">
        <v>452</v>
      </c>
      <c r="K58" s="722" t="s">
        <v>869</v>
      </c>
      <c r="L58" s="723">
        <v>9434</v>
      </c>
      <c r="M58" s="722" t="s">
        <v>454</v>
      </c>
      <c r="N58" s="257"/>
      <c r="O58" s="259" t="s">
        <v>455</v>
      </c>
      <c r="P58" s="730" t="s">
        <v>456</v>
      </c>
      <c r="Q58" s="119"/>
      <c r="R58" s="119"/>
      <c r="S58" s="119"/>
      <c r="T58" s="119"/>
      <c r="U58" s="119"/>
      <c r="V58" s="119"/>
      <c r="W58" s="119"/>
      <c r="X58" s="119"/>
      <c r="Y58" s="119"/>
    </row>
    <row r="59" spans="1:25" ht="15" customHeight="1">
      <c r="F59" s="291" t="s">
        <v>401</v>
      </c>
      <c r="G59" s="698" t="s">
        <v>765</v>
      </c>
      <c r="H59" s="699"/>
      <c r="I59" s="291" t="s">
        <v>715</v>
      </c>
      <c r="J59" s="291" t="s">
        <v>407</v>
      </c>
      <c r="K59" s="291" t="s">
        <v>716</v>
      </c>
      <c r="L59" s="259">
        <v>8582</v>
      </c>
      <c r="M59" s="291" t="s">
        <v>717</v>
      </c>
      <c r="N59" s="257"/>
      <c r="O59" s="259" t="s">
        <v>870</v>
      </c>
      <c r="P59" s="724" t="s">
        <v>871</v>
      </c>
      <c r="Q59" s="119"/>
      <c r="R59" s="119"/>
      <c r="S59" s="119"/>
      <c r="T59" s="119"/>
      <c r="U59" s="119"/>
      <c r="V59" s="119"/>
      <c r="W59" s="119"/>
      <c r="X59" s="119"/>
      <c r="Y59" s="119"/>
    </row>
    <row r="60" spans="1:25" ht="14">
      <c r="F60" s="753" t="s">
        <v>266</v>
      </c>
      <c r="G60" s="698" t="s">
        <v>411</v>
      </c>
      <c r="H60" s="699"/>
      <c r="I60" s="722" t="s">
        <v>848</v>
      </c>
      <c r="J60" s="722" t="s">
        <v>842</v>
      </c>
      <c r="K60" s="732" t="s">
        <v>843</v>
      </c>
      <c r="L60" s="733">
        <v>4623</v>
      </c>
      <c r="M60" s="732" t="s">
        <v>363</v>
      </c>
      <c r="N60" s="257"/>
      <c r="O60" s="259" t="s">
        <v>1042</v>
      </c>
      <c r="P60" s="731" t="s">
        <v>849</v>
      </c>
      <c r="Q60" s="258"/>
    </row>
    <row r="61" spans="1:25" ht="14">
      <c r="F61" s="256" t="s">
        <v>263</v>
      </c>
      <c r="G61" s="728" t="s">
        <v>772</v>
      </c>
      <c r="H61" s="729"/>
      <c r="I61" s="256" t="s">
        <v>21</v>
      </c>
      <c r="J61" s="256" t="s">
        <v>862</v>
      </c>
      <c r="K61" s="256" t="s">
        <v>863</v>
      </c>
      <c r="L61" s="259">
        <v>4543</v>
      </c>
      <c r="M61" s="256" t="s">
        <v>864</v>
      </c>
      <c r="N61" s="257"/>
      <c r="O61" s="256"/>
      <c r="P61" s="730" t="s">
        <v>865</v>
      </c>
    </row>
    <row r="63" spans="1:25" ht="14">
      <c r="A63" s="30"/>
      <c r="D63" s="3"/>
      <c r="E63" s="319"/>
      <c r="F63" s="722" t="s">
        <v>266</v>
      </c>
      <c r="G63" s="698" t="s">
        <v>845</v>
      </c>
      <c r="H63" s="699"/>
      <c r="I63" s="722" t="s">
        <v>31</v>
      </c>
      <c r="J63" s="722" t="s">
        <v>231</v>
      </c>
      <c r="K63" s="722" t="s">
        <v>368</v>
      </c>
      <c r="L63" s="723">
        <v>8832</v>
      </c>
      <c r="M63" s="722" t="s">
        <v>232</v>
      </c>
      <c r="N63" s="257"/>
      <c r="O63" s="259" t="s">
        <v>369</v>
      </c>
      <c r="P63" s="731" t="s">
        <v>370</v>
      </c>
    </row>
    <row r="64" spans="1:25" ht="14">
      <c r="A64" s="30"/>
      <c r="D64" s="3"/>
      <c r="E64" s="399"/>
      <c r="F64" s="725" t="s">
        <v>261</v>
      </c>
      <c r="G64" s="755" t="s">
        <v>880</v>
      </c>
      <c r="H64" s="701"/>
      <c r="I64" s="703" t="s">
        <v>14</v>
      </c>
      <c r="J64" s="703" t="s">
        <v>938</v>
      </c>
      <c r="K64" s="703" t="s">
        <v>1045</v>
      </c>
      <c r="L64" s="726">
        <v>8603</v>
      </c>
      <c r="M64" s="756" t="s">
        <v>1016</v>
      </c>
      <c r="N64" s="710"/>
      <c r="O64" s="700" t="s">
        <v>1017</v>
      </c>
      <c r="P64" s="727" t="s">
        <v>973</v>
      </c>
    </row>
    <row r="65" spans="1:34" ht="14">
      <c r="A65" s="30"/>
      <c r="D65" s="3"/>
      <c r="E65" s="399"/>
      <c r="F65" s="399" t="s">
        <v>261</v>
      </c>
      <c r="G65" s="399" t="s">
        <v>1049</v>
      </c>
      <c r="H65" s="324"/>
      <c r="I65" s="386" t="s">
        <v>554</v>
      </c>
      <c r="J65" s="400" t="s">
        <v>1050</v>
      </c>
      <c r="K65" s="3"/>
    </row>
    <row r="66" spans="1:34" ht="14">
      <c r="A66" s="30"/>
      <c r="D66" s="3"/>
      <c r="E66" s="399"/>
      <c r="F66" s="399"/>
      <c r="G66" s="399"/>
      <c r="H66" s="324"/>
      <c r="I66" s="386"/>
      <c r="J66" s="400"/>
      <c r="K66" s="3"/>
    </row>
    <row r="67" spans="1:34" ht="14">
      <c r="A67" s="30"/>
      <c r="D67" s="3"/>
      <c r="E67" s="399"/>
      <c r="F67" s="399"/>
      <c r="G67" s="399"/>
      <c r="H67" s="324"/>
      <c r="I67" s="386"/>
      <c r="J67" s="400"/>
      <c r="K67" s="3"/>
    </row>
    <row r="68" spans="1:34" ht="14">
      <c r="A68" s="30"/>
      <c r="D68" s="3"/>
      <c r="E68" s="399"/>
      <c r="F68" s="399"/>
      <c r="G68" s="399"/>
      <c r="H68" s="325"/>
      <c r="I68" s="326"/>
      <c r="J68" s="400"/>
      <c r="K68" s="3"/>
    </row>
    <row r="69" spans="1:34" ht="14">
      <c r="A69" s="30"/>
      <c r="D69" s="3"/>
      <c r="E69" s="319"/>
      <c r="F69" s="399"/>
      <c r="H69" s="325"/>
      <c r="I69" s="326"/>
      <c r="J69" s="400"/>
    </row>
    <row r="70" spans="1:34">
      <c r="D70" s="3"/>
    </row>
    <row r="71" spans="1:34" ht="14">
      <c r="D71" s="3"/>
      <c r="H71" s="12"/>
    </row>
    <row r="72" spans="1:34" ht="14">
      <c r="D72" s="3"/>
      <c r="H72" s="73"/>
      <c r="I72" s="73"/>
      <c r="J72" s="73"/>
      <c r="K72" s="73"/>
      <c r="L72" s="73"/>
      <c r="M72" s="73"/>
      <c r="N72" s="712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</row>
  </sheetData>
  <sortState xmlns:xlrd2="http://schemas.microsoft.com/office/spreadsheetml/2017/richdata2" ref="D18:Q28">
    <sortCondition ref="G18:G28"/>
  </sortState>
  <mergeCells count="9">
    <mergeCell ref="G52:H52"/>
    <mergeCell ref="G47:H47"/>
    <mergeCell ref="A1:F1"/>
    <mergeCell ref="G46:H46"/>
    <mergeCell ref="G45:H45"/>
    <mergeCell ref="G44:H44"/>
    <mergeCell ref="G43:H43"/>
    <mergeCell ref="G2:H2"/>
    <mergeCell ref="A2:F2"/>
  </mergeCells>
  <phoneticPr fontId="52" type="noConversion"/>
  <hyperlinks>
    <hyperlink ref="P4" r:id="rId1" xr:uid="{00000000-0004-0000-0000-00000E000000}"/>
    <hyperlink ref="P52" r:id="rId2" xr:uid="{00000000-0004-0000-0000-000015000000}"/>
    <hyperlink ref="P53" r:id="rId3" xr:uid="{00000000-0004-0000-0000-00001A000000}"/>
    <hyperlink ref="P54" r:id="rId4" xr:uid="{00000000-0004-0000-0000-00001C000000}"/>
    <hyperlink ref="P55" r:id="rId5" xr:uid="{00000000-0004-0000-0000-00001E000000}"/>
    <hyperlink ref="P51" r:id="rId6" xr:uid="{00000000-0004-0000-0000-000024000000}"/>
    <hyperlink ref="P50" r:id="rId7" xr:uid="{00000000-0004-0000-0000-000025000000}"/>
    <hyperlink ref="P3" r:id="rId8" xr:uid="{840FA6D7-2060-4568-A584-E4B4CCBDB0C1}"/>
    <hyperlink ref="P57" r:id="rId9" xr:uid="{B5048665-51EF-4AAF-90A2-2C735FF84DB8}"/>
    <hyperlink ref="P58" r:id="rId10" xr:uid="{B5402960-CA05-4902-9843-E4CB00F06F45}"/>
    <hyperlink ref="P59" r:id="rId11" display="gabriel.schlaepfer@gmail.com" xr:uid="{D40DD6DF-F810-4623-8671-83A1BC0C8BC9}"/>
    <hyperlink ref="P10" r:id="rId12" xr:uid="{8CA0E292-1EB8-4C9A-80F6-71B6FCB18357}"/>
    <hyperlink ref="P6" r:id="rId13" display="tobias_kasper@hotmail.com" xr:uid="{318C1384-CBBE-4145-8BFE-F8E9156525E9}"/>
    <hyperlink ref="P5" r:id="rId14" xr:uid="{43E1DCB4-BE5D-4893-9974-4B6F05F3723B}"/>
    <hyperlink ref="P60" r:id="rId15" xr:uid="{EA359BB0-6D1F-4534-A481-BD201A359A99}"/>
    <hyperlink ref="P61" r:id="rId16" display="cyril.mettler@tbwil.ch" xr:uid="{8862726E-57A9-4167-8855-FA776F273DBA}"/>
    <hyperlink ref="P7" r:id="rId17" xr:uid="{C0531379-2BBA-4CCD-914C-405077913093}"/>
    <hyperlink ref="P12" r:id="rId18" xr:uid="{6E42AC7C-6031-4FDA-9BA6-3E86AD662F6A}"/>
    <hyperlink ref="P56" r:id="rId19" xr:uid="{EB323F88-4D18-469F-AD1B-BC354D29FCC0}"/>
    <hyperlink ref="P63" r:id="rId20" xr:uid="{5FF9383F-43EF-4FCD-8DD9-798D3F72BC99}"/>
    <hyperlink ref="P64" r:id="rId21" xr:uid="{01559850-F4DD-4157-9283-EB2DDD6C6A2E}"/>
    <hyperlink ref="P48" r:id="rId22" xr:uid="{9DA95DC5-418E-415C-B70F-30FF8F651FF8}"/>
    <hyperlink ref="P11" r:id="rId23" xr:uid="{0ED0FD96-D46C-4C24-AB20-1D3171967D99}"/>
    <hyperlink ref="P8" r:id="rId24" display="mailto:raffigubser@bluewin.ch" xr:uid="{4C736EED-2063-4EEF-B61A-297B70E8E3AC}"/>
    <hyperlink ref="P49" r:id="rId25" xr:uid="{7F378615-A455-45A7-A727-E03DC854AEA9}"/>
    <hyperlink ref="P36" r:id="rId26" xr:uid="{00B6EF1E-B08F-422D-9F82-87CDB925E2A3}"/>
    <hyperlink ref="P13" r:id="rId27" xr:uid="{9C678003-484C-470D-ACF6-2254D89AF206}"/>
    <hyperlink ref="P25" r:id="rId28" xr:uid="{F9615D36-D341-449E-8615-72A1946094B7}"/>
    <hyperlink ref="P24" r:id="rId29" xr:uid="{E58D4145-6EF9-4195-947D-8A45AC2087BE}"/>
    <hyperlink ref="P34" r:id="rId30" xr:uid="{3351930D-86AF-48DA-9D33-037E73E0C893}"/>
    <hyperlink ref="P21" r:id="rId31" xr:uid="{F763B6A8-A76C-4FF6-A892-A760B2E98E77}"/>
    <hyperlink ref="P35" r:id="rId32" xr:uid="{C31BB810-F513-4894-A21F-503034233F5E}"/>
    <hyperlink ref="P30" r:id="rId33" xr:uid="{0CC40986-6583-4E65-B6DC-DB5304D54EE6}"/>
  </hyperlinks>
  <pageMargins left="0.39370078740157483" right="0.27559055118110237" top="0.23622047244094491" bottom="0.19685039370078741" header="0.15748031496062992" footer="0.15748031496062992"/>
  <pageSetup paperSize="9" scale="65" orientation="landscape" r:id="rId3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2FD6-3BD4-4116-BD0D-8EC79D6158D8}">
  <dimension ref="A1:T28"/>
  <sheetViews>
    <sheetView workbookViewId="0"/>
  </sheetViews>
  <sheetFormatPr baseColWidth="10" defaultColWidth="10.81640625" defaultRowHeight="12.5"/>
  <cols>
    <col min="1" max="1" width="3.7265625" style="30" customWidth="1"/>
    <col min="2" max="2" width="3.54296875" style="3" customWidth="1"/>
    <col min="3" max="3" width="34.54296875" bestFit="1" customWidth="1"/>
    <col min="4" max="4" width="3.54296875" style="3" customWidth="1"/>
    <col min="5" max="5" width="33.54296875" bestFit="1" customWidth="1"/>
    <col min="6" max="6" width="5.54296875" style="3" customWidth="1"/>
    <col min="7" max="7" width="5.54296875" style="30" customWidth="1"/>
    <col min="8" max="8" width="53.08984375" bestFit="1" customWidth="1"/>
  </cols>
  <sheetData>
    <row r="1" spans="1:20" ht="13">
      <c r="C1" s="333" t="s">
        <v>1110</v>
      </c>
      <c r="D1" s="1107">
        <v>2025</v>
      </c>
      <c r="E1" s="1107"/>
    </row>
    <row r="3" spans="1:20">
      <c r="C3" s="20" t="s">
        <v>612</v>
      </c>
    </row>
    <row r="4" spans="1:20" ht="15.5">
      <c r="A4" s="30">
        <v>1</v>
      </c>
      <c r="B4" s="263">
        <v>45</v>
      </c>
      <c r="C4" s="704" t="str">
        <f>Eigaben!H6</f>
        <v>STV Töss ( 2. Liga )</v>
      </c>
      <c r="D4" s="263">
        <f>Eigaben!G6</f>
        <v>46</v>
      </c>
      <c r="E4" s="704" t="str">
        <f>Eigaben!K6</f>
        <v>SUS Widnau   ( 2. Liga F )</v>
      </c>
      <c r="F4" s="321">
        <f>Eigaben!L6</f>
        <v>4</v>
      </c>
      <c r="G4" s="321">
        <f>Eigaben!N6</f>
        <v>5</v>
      </c>
      <c r="H4" s="787"/>
      <c r="T4" s="784"/>
    </row>
    <row r="5" spans="1:20" ht="15.5">
      <c r="A5" s="30">
        <v>2</v>
      </c>
      <c r="B5" s="263"/>
      <c r="C5" s="704"/>
      <c r="D5" s="263"/>
      <c r="E5" s="704"/>
      <c r="F5" s="321"/>
      <c r="G5" s="321"/>
      <c r="H5" s="704"/>
    </row>
    <row r="6" spans="1:20" ht="15.5">
      <c r="A6" s="30">
        <v>3</v>
      </c>
      <c r="B6" s="263"/>
      <c r="C6" s="704"/>
      <c r="D6" s="263"/>
      <c r="E6" s="704"/>
      <c r="F6" s="321"/>
      <c r="G6" s="321"/>
      <c r="H6" s="704"/>
    </row>
    <row r="7" spans="1:20" ht="15.5">
      <c r="A7" s="30">
        <v>4</v>
      </c>
      <c r="B7" s="263"/>
      <c r="C7" s="704"/>
      <c r="D7" s="263"/>
      <c r="E7" s="704"/>
      <c r="F7" s="321"/>
      <c r="G7" s="321"/>
      <c r="H7" s="704"/>
    </row>
    <row r="8" spans="1:20" ht="15.5">
      <c r="B8" s="263"/>
      <c r="C8" s="704"/>
      <c r="D8" s="263"/>
      <c r="E8" s="704"/>
      <c r="F8" s="321"/>
      <c r="G8" s="321"/>
      <c r="H8" s="704"/>
    </row>
    <row r="9" spans="1:20" ht="15.5">
      <c r="B9" s="263"/>
      <c r="C9" s="704"/>
      <c r="D9" s="263"/>
      <c r="E9" s="704"/>
      <c r="F9" s="321"/>
      <c r="G9" s="321"/>
      <c r="H9" s="704"/>
    </row>
    <row r="10" spans="1:20" ht="15.5">
      <c r="B10" s="1106" t="s">
        <v>1109</v>
      </c>
      <c r="C10" s="1106"/>
      <c r="D10" s="263"/>
      <c r="E10" s="704"/>
      <c r="F10" s="321"/>
      <c r="G10" s="321"/>
      <c r="H10" s="704"/>
    </row>
    <row r="11" spans="1:20" ht="15.5">
      <c r="B11" s="263"/>
      <c r="C11" s="177" t="str">
        <f>Eigaben!H5</f>
        <v xml:space="preserve">Mannschaft </v>
      </c>
      <c r="D11" s="263"/>
      <c r="E11" s="177" t="str">
        <f>Eigaben!K5</f>
        <v>Mannschaft</v>
      </c>
      <c r="F11" s="1108" t="str">
        <f>Eigaben!L27</f>
        <v>Resultat</v>
      </c>
      <c r="G11" s="1108"/>
      <c r="H11" s="704"/>
    </row>
    <row r="12" spans="1:20" ht="15.5">
      <c r="A12" s="30">
        <v>1</v>
      </c>
      <c r="B12" s="263">
        <f>Eigaben!F28</f>
        <v>56</v>
      </c>
      <c r="C12" s="704" t="str">
        <f>Eigaben!H28</f>
        <v>TSV Jona 1( NLB O )</v>
      </c>
      <c r="D12" s="263">
        <f>Eigaben!G28</f>
        <v>71</v>
      </c>
      <c r="E12" s="704" t="str">
        <f>Eigaben!K28</f>
        <v>STV Wigoltingen   ( NLA )</v>
      </c>
      <c r="F12" s="321">
        <f>Eigaben!L28</f>
        <v>5</v>
      </c>
      <c r="G12" s="321">
        <f>Eigaben!N28</f>
        <v>2</v>
      </c>
      <c r="H12" s="786" t="s">
        <v>1113</v>
      </c>
      <c r="I12" s="785"/>
      <c r="J12" s="784"/>
    </row>
    <row r="13" spans="1:20" ht="15.5">
      <c r="A13" s="30">
        <v>2</v>
      </c>
      <c r="B13" s="263">
        <f>Eigaben!F29</f>
        <v>58</v>
      </c>
      <c r="C13" s="704" t="str">
        <f>Eigaben!H29</f>
        <v>TV Oberwinterthur  (NLB )</v>
      </c>
      <c r="D13" s="263">
        <f>Eigaben!G29</f>
        <v>54</v>
      </c>
      <c r="E13" s="704" t="str">
        <f>Eigaben!K6</f>
        <v>SUS Widnau   ( 2. Liga F )</v>
      </c>
      <c r="F13" s="321">
        <f>Eigaben!L29</f>
        <v>2</v>
      </c>
      <c r="G13" s="321">
        <f>Eigaben!N29</f>
        <v>5</v>
      </c>
      <c r="H13" s="704"/>
    </row>
    <row r="14" spans="1:20" ht="15.5">
      <c r="A14" s="30">
        <v>3</v>
      </c>
      <c r="B14" s="263">
        <f>Eigaben!F30</f>
        <v>42</v>
      </c>
      <c r="C14" s="704" t="str">
        <f>Eigaben!H30</f>
        <v>STV Felben-W.hausen ( 2. Liga )</v>
      </c>
      <c r="D14" s="263">
        <f>Eigaben!G30</f>
        <v>59</v>
      </c>
      <c r="E14" s="704" t="str">
        <f>Eigaben!K30</f>
        <v>STV Rickenbach-Wilen 2 ( NLB )</v>
      </c>
      <c r="F14" s="321">
        <f>Eigaben!L30</f>
        <v>3</v>
      </c>
      <c r="G14" s="321">
        <f>Eigaben!N30</f>
        <v>5</v>
      </c>
      <c r="H14" s="704"/>
    </row>
    <row r="15" spans="1:20" ht="15.5">
      <c r="A15" s="30">
        <v>4</v>
      </c>
      <c r="B15" s="263">
        <f>Eigaben!F31</f>
        <v>55</v>
      </c>
      <c r="C15" s="704" t="str">
        <f>Eigaben!H31</f>
        <v>FG Elgg-Ettenhausen 2 ( NLB O )</v>
      </c>
      <c r="D15" s="263">
        <f>Eigaben!G31</f>
        <v>65</v>
      </c>
      <c r="E15" s="704" t="str">
        <f>Eigaben!K31</f>
        <v>SVD Diepoldsau-Schmitter (NLA)</v>
      </c>
      <c r="F15" s="321">
        <f>Eigaben!L31</f>
        <v>3</v>
      </c>
      <c r="G15" s="321">
        <f>Eigaben!N31</f>
        <v>5</v>
      </c>
      <c r="H15" s="704"/>
    </row>
    <row r="16" spans="1:20" ht="15.5">
      <c r="A16" s="30">
        <v>5</v>
      </c>
      <c r="B16" s="263">
        <f>Eigaben!F32</f>
        <v>53</v>
      </c>
      <c r="C16" s="704" t="str">
        <f>Eigaben!H32</f>
        <v>STV Dägerlen ( NLB O )</v>
      </c>
      <c r="D16" s="263">
        <f>Eigaben!G32</f>
        <v>67</v>
      </c>
      <c r="E16" s="704" t="str">
        <f>Eigaben!K32</f>
        <v>FG Fricktal ( NLA  )</v>
      </c>
      <c r="F16" s="321">
        <f>Eigaben!L32</f>
        <v>1</v>
      </c>
      <c r="G16" s="321">
        <f>Eigaben!N32</f>
        <v>5</v>
      </c>
      <c r="H16" s="704"/>
    </row>
    <row r="17" spans="1:8" ht="15.5">
      <c r="A17" s="30">
        <v>6</v>
      </c>
      <c r="B17" s="263">
        <f>Eigaben!F33</f>
        <v>41</v>
      </c>
      <c r="C17" s="704" t="str">
        <f>Eigaben!H33</f>
        <v>FBV Ettenhausen ( 2. Liga S )</v>
      </c>
      <c r="D17" s="263">
        <f>Eigaben!G33</f>
        <v>50</v>
      </c>
      <c r="E17" s="704" t="str">
        <f>Eigaben!K33</f>
        <v xml:space="preserve">TSV Jona 2  ( 1. Liga O )  </v>
      </c>
      <c r="F17" s="321">
        <f>Eigaben!L33</f>
        <v>5</v>
      </c>
      <c r="G17" s="321">
        <f>Eigaben!N33</f>
        <v>2</v>
      </c>
      <c r="H17" s="704"/>
    </row>
    <row r="18" spans="1:8" ht="15.5">
      <c r="A18" s="30">
        <v>7</v>
      </c>
      <c r="B18" s="263">
        <f>Eigaben!F34</f>
        <v>46</v>
      </c>
      <c r="C18" s="704" t="str">
        <f>Eigaben!H34</f>
        <v>SUS Widnau   ( 2. Liga F )</v>
      </c>
      <c r="D18" s="263">
        <f>Eigaben!G34</f>
        <v>64</v>
      </c>
      <c r="E18" s="704" t="str">
        <f>Eigaben!K34</f>
        <v>STV Affeltrangen  ( NLA )</v>
      </c>
      <c r="F18" s="321">
        <f>Eigaben!L34</f>
        <v>4</v>
      </c>
      <c r="G18" s="321">
        <f>Eigaben!N34</f>
        <v>5</v>
      </c>
      <c r="H18" s="704"/>
    </row>
    <row r="19" spans="1:8" ht="15.5">
      <c r="A19" s="30">
        <v>8</v>
      </c>
      <c r="B19" s="263">
        <f>Eigaben!F35</f>
        <v>38</v>
      </c>
      <c r="C19" s="704" t="str">
        <f>Eigaben!H35</f>
        <v>TSV Waldkirch ( 3. Liga F )</v>
      </c>
      <c r="D19" s="263">
        <f>Eigaben!G35</f>
        <v>70</v>
      </c>
      <c r="E19" s="704" t="str">
        <f>Eigaben!K35</f>
        <v>SUS Widnau   ( NLA )</v>
      </c>
      <c r="F19" s="321">
        <f>Eigaben!L35</f>
        <v>1</v>
      </c>
      <c r="G19" s="321">
        <f>Eigaben!N35</f>
        <v>5</v>
      </c>
      <c r="H19" s="704"/>
    </row>
    <row r="20" spans="1:8" ht="15.5">
      <c r="A20" s="30">
        <v>9</v>
      </c>
      <c r="B20" s="263">
        <f>Eigaben!F36</f>
        <v>51</v>
      </c>
      <c r="C20" s="704" t="str">
        <f>Eigaben!H36</f>
        <v>STV Spreitenbach 1 ( 1. Liga W )</v>
      </c>
      <c r="D20" s="263">
        <f>Eigaben!G36</f>
        <v>68</v>
      </c>
      <c r="E20" s="704" t="str">
        <f>Eigaben!K36</f>
        <v>STV Oberentfelden   ( NLA )</v>
      </c>
      <c r="F20" s="321">
        <f>Eigaben!L36</f>
        <v>0</v>
      </c>
      <c r="G20" s="321">
        <f>Eigaben!N36</f>
        <v>5</v>
      </c>
      <c r="H20" s="704"/>
    </row>
    <row r="21" spans="1:8" ht="15.5">
      <c r="A21" s="30">
        <v>10</v>
      </c>
      <c r="B21" s="263">
        <f>Eigaben!F37</f>
        <v>49</v>
      </c>
      <c r="C21" s="704" t="str">
        <f>Eigaben!H37</f>
        <v>FB Burgdorf (1. Liga  W)</v>
      </c>
      <c r="D21" s="263">
        <f>Eigaben!G37</f>
        <v>63</v>
      </c>
      <c r="E21" s="704" t="str">
        <f>Eigaben!K37</f>
        <v>STV Vordemwald 1 ( NLB W )</v>
      </c>
      <c r="F21" s="321">
        <f>Eigaben!L37</f>
        <v>0</v>
      </c>
      <c r="G21" s="321">
        <f>Eigaben!N37</f>
        <v>5</v>
      </c>
      <c r="H21" s="704"/>
    </row>
    <row r="22" spans="1:8" ht="15.5">
      <c r="A22" s="30">
        <v>11</v>
      </c>
      <c r="B22" s="263">
        <f>Eigaben!F38</f>
        <v>60</v>
      </c>
      <c r="C22" s="704" t="str">
        <f>Eigaben!H38</f>
        <v>STV Schlieren ( NLB O )</v>
      </c>
      <c r="D22" s="263">
        <f>Eigaben!G38</f>
        <v>62</v>
      </c>
      <c r="E22" s="704" t="str">
        <f>Eigaben!K38</f>
        <v>FB Schwellbrunn ( NLB  O)</v>
      </c>
      <c r="F22" s="321">
        <f>Eigaben!L38</f>
        <v>5</v>
      </c>
      <c r="G22" s="321">
        <f>Eigaben!N38</f>
        <v>1</v>
      </c>
      <c r="H22" s="704"/>
    </row>
    <row r="23" spans="1:8" ht="15.5">
      <c r="A23" s="30">
        <v>12</v>
      </c>
      <c r="B23" s="263">
        <f>Eigaben!F39</f>
        <v>44</v>
      </c>
      <c r="C23" s="704" t="str">
        <f>Eigaben!H39</f>
        <v>STV Oberentfelden   ( 2. Liga )</v>
      </c>
      <c r="D23" s="263">
        <f>Eigaben!G39</f>
        <v>57</v>
      </c>
      <c r="E23" s="704" t="str">
        <f>Eigaben!K39</f>
        <v>STV Kirchberg  ( NLB W )</v>
      </c>
      <c r="F23" s="321">
        <f>Eigaben!L39</f>
        <v>5</v>
      </c>
      <c r="G23" s="321">
        <f>Eigaben!N39</f>
        <v>0</v>
      </c>
      <c r="H23" s="704"/>
    </row>
    <row r="24" spans="1:8" ht="15.5">
      <c r="A24" s="30">
        <v>13</v>
      </c>
      <c r="B24" s="263">
        <f>Eigaben!F40</f>
        <v>48</v>
      </c>
      <c r="C24" s="704" t="str">
        <f>Eigaben!H40</f>
        <v>STV Alpnach  ( 1. Liga ) W</v>
      </c>
      <c r="D24" s="263">
        <f>Eigaben!G40</f>
        <v>61</v>
      </c>
      <c r="E24" s="704" t="str">
        <f>Eigaben!K40</f>
        <v>STV Schlossrued ( NLB W )</v>
      </c>
      <c r="F24" s="321">
        <f>Eigaben!L40</f>
        <v>5</v>
      </c>
      <c r="G24" s="321">
        <f>Eigaben!N40</f>
        <v>2</v>
      </c>
      <c r="H24" s="704"/>
    </row>
    <row r="25" spans="1:8" ht="15.5">
      <c r="A25" s="30">
        <v>14</v>
      </c>
      <c r="B25" s="263">
        <f>Eigaben!F41</f>
        <v>39</v>
      </c>
      <c r="C25" s="704" t="str">
        <f>Eigaben!H41</f>
        <v>MR Beringen ( 2. Liga )</v>
      </c>
      <c r="D25" s="263">
        <f>Eigaben!G41</f>
        <v>69</v>
      </c>
      <c r="E25" s="704" t="str">
        <f>Eigaben!K41</f>
        <v>FG Rickenbach-Wilen ( NLA )</v>
      </c>
      <c r="F25" s="321">
        <f>Eigaben!L41</f>
        <v>0</v>
      </c>
      <c r="G25" s="321">
        <f>Eigaben!N41</f>
        <v>5</v>
      </c>
      <c r="H25" s="704"/>
    </row>
    <row r="26" spans="1:8" ht="15.5">
      <c r="A26" s="30">
        <v>15</v>
      </c>
      <c r="B26" s="263">
        <f>Eigaben!F42</f>
        <v>40</v>
      </c>
      <c r="C26" s="704" t="str">
        <f>Eigaben!H42</f>
        <v>STV Elgg ( 2. Liga )</v>
      </c>
      <c r="D26" s="263">
        <f>Eigaben!G42</f>
        <v>47</v>
      </c>
      <c r="E26" s="704" t="str">
        <f>Eigaben!K42</f>
        <v xml:space="preserve">TV Widnau ( 2. Liga F ) </v>
      </c>
      <c r="F26" s="321">
        <f>Eigaben!L42</f>
        <v>2</v>
      </c>
      <c r="G26" s="321">
        <f>Eigaben!N42</f>
        <v>5</v>
      </c>
      <c r="H26" s="704"/>
    </row>
    <row r="27" spans="1:8" ht="15.5">
      <c r="A27" s="30">
        <v>16</v>
      </c>
      <c r="B27" s="263">
        <f>Eigaben!F43</f>
        <v>52</v>
      </c>
      <c r="C27" s="704" t="str">
        <f>Eigaben!H43</f>
        <v>STV Vordemwald 2  ( 1. Liga W)</v>
      </c>
      <c r="D27" s="263">
        <f>Eigaben!G43</f>
        <v>66</v>
      </c>
      <c r="E27" s="704" t="str">
        <f>Eigaben!K43</f>
        <v>FG Elgg-Ettenhausen 1 ( NLA )</v>
      </c>
      <c r="F27" s="321">
        <f>Eigaben!L43</f>
        <v>1</v>
      </c>
      <c r="G27" s="321">
        <f>Eigaben!N43</f>
        <v>5</v>
      </c>
      <c r="H27" s="704"/>
    </row>
    <row r="28" spans="1:8" ht="15.5">
      <c r="B28" s="263">
        <f>Eigaben!F44</f>
        <v>0</v>
      </c>
      <c r="C28" s="704" t="str">
        <f>Eigaben!H44</f>
        <v/>
      </c>
    </row>
  </sheetData>
  <mergeCells count="3">
    <mergeCell ref="B10:C10"/>
    <mergeCell ref="D1:E1"/>
    <mergeCell ref="F11:G11"/>
  </mergeCells>
  <pageMargins left="0.28999999999999998" right="0.18" top="0.78740157499999996" bottom="0.61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7F95-C741-4C1C-AB6D-5646D1583672}">
  <sheetPr filterMode="1"/>
  <dimension ref="A1:J65"/>
  <sheetViews>
    <sheetView workbookViewId="0">
      <selection activeCell="H49" sqref="H49"/>
    </sheetView>
  </sheetViews>
  <sheetFormatPr baseColWidth="10" defaultColWidth="10.81640625" defaultRowHeight="12.5"/>
  <cols>
    <col min="1" max="1" width="4.6328125" customWidth="1"/>
    <col min="2" max="2" width="4.54296875" customWidth="1"/>
    <col min="3" max="3" width="31.6328125" customWidth="1"/>
    <col min="4" max="4" width="4.54296875" customWidth="1"/>
    <col min="5" max="5" width="31.6328125" customWidth="1"/>
    <col min="6" max="7" width="4.6328125" customWidth="1"/>
    <col min="8" max="8" width="49.08984375" customWidth="1"/>
    <col min="9" max="9" width="4.7265625" style="30" customWidth="1"/>
    <col min="10" max="10" width="18.6328125" customWidth="1"/>
  </cols>
  <sheetData>
    <row r="1" spans="1:10" ht="15.5">
      <c r="A1" s="1110" t="s">
        <v>1110</v>
      </c>
      <c r="B1" s="1110"/>
      <c r="C1" s="1110"/>
      <c r="D1" s="1107">
        <v>2025</v>
      </c>
      <c r="E1" s="1107"/>
      <c r="F1" s="3"/>
      <c r="G1" s="30"/>
    </row>
    <row r="2" spans="1:10">
      <c r="A2" s="30"/>
      <c r="B2" s="3"/>
      <c r="D2" s="3"/>
      <c r="F2" s="3"/>
      <c r="G2" s="30"/>
    </row>
    <row r="3" spans="1:10" ht="15.5">
      <c r="A3" s="30"/>
      <c r="B3" s="1106" t="s">
        <v>612</v>
      </c>
      <c r="C3" s="1106"/>
      <c r="D3" s="3"/>
      <c r="E3" s="169"/>
      <c r="F3" s="3"/>
      <c r="G3" s="30"/>
    </row>
    <row r="4" spans="1:10" ht="15.5" hidden="1">
      <c r="A4" s="30">
        <v>1</v>
      </c>
      <c r="B4" s="22">
        <f>Eigaben!F6</f>
        <v>45</v>
      </c>
      <c r="C4" s="169" t="str">
        <f>Eigaben!H6</f>
        <v>STV Töss ( 2. Liga )</v>
      </c>
      <c r="D4" s="263">
        <f>Eigaben!G6</f>
        <v>46</v>
      </c>
      <c r="E4" s="169" t="str">
        <f>Eigaben!K6</f>
        <v>SUS Widnau   ( 2. Liga F )</v>
      </c>
      <c r="F4" s="321">
        <v>4</v>
      </c>
      <c r="G4" s="321">
        <v>5</v>
      </c>
      <c r="H4" s="841" t="s">
        <v>1306</v>
      </c>
      <c r="J4" s="255" t="str">
        <f>Eigaben!U6</f>
        <v>Werder Manuel</v>
      </c>
    </row>
    <row r="5" spans="1:10" ht="15.5" hidden="1">
      <c r="A5" s="30">
        <v>2</v>
      </c>
      <c r="B5" s="22">
        <f>Eigaben!F7</f>
        <v>40</v>
      </c>
      <c r="C5" s="169" t="str">
        <f>Eigaben!H7</f>
        <v>STV Elgg ( 2. Liga )</v>
      </c>
      <c r="D5" s="263">
        <f>Eigaben!G7</f>
        <v>43</v>
      </c>
      <c r="E5" s="169" t="str">
        <f>Eigaben!K7</f>
        <v>STV Müllheim ( 2. L )</v>
      </c>
      <c r="F5" s="321">
        <f>Eigaben!L7</f>
        <v>5</v>
      </c>
      <c r="G5" s="321">
        <v>0</v>
      </c>
      <c r="H5" s="841" t="s">
        <v>1302</v>
      </c>
      <c r="J5" s="255" t="str">
        <f>Eigaben!U7</f>
        <v>Ziereisen Daniel</v>
      </c>
    </row>
    <row r="6" spans="1:10" ht="15.5" hidden="1">
      <c r="A6" s="30">
        <v>3</v>
      </c>
      <c r="B6" s="22"/>
      <c r="C6" s="169"/>
      <c r="D6" s="263"/>
      <c r="E6" s="169"/>
      <c r="F6" s="321">
        <f>Eigaben!L8</f>
        <v>0</v>
      </c>
      <c r="G6" s="321">
        <f>Eigaben!N8</f>
        <v>0</v>
      </c>
      <c r="H6" s="169"/>
      <c r="J6" s="255" t="str">
        <f>Eigaben!U8</f>
        <v/>
      </c>
    </row>
    <row r="7" spans="1:10" ht="15.5" hidden="1">
      <c r="A7" s="30">
        <v>4</v>
      </c>
      <c r="B7" s="22"/>
      <c r="C7" s="169"/>
      <c r="D7" s="263"/>
      <c r="E7" s="169"/>
      <c r="F7" s="321">
        <f>Eigaben!L9</f>
        <v>0</v>
      </c>
      <c r="G7" s="321">
        <f>Eigaben!N9</f>
        <v>0</v>
      </c>
      <c r="H7" s="169"/>
      <c r="J7" s="255" t="str">
        <f>Eigaben!U9</f>
        <v/>
      </c>
    </row>
    <row r="8" spans="1:10" ht="15.5" hidden="1">
      <c r="A8" s="30"/>
      <c r="B8" s="22"/>
      <c r="C8" s="169"/>
      <c r="D8" s="263"/>
      <c r="E8" s="169"/>
      <c r="F8" s="321"/>
      <c r="G8" s="321"/>
      <c r="H8" s="169"/>
      <c r="J8" s="255" t="str">
        <f>Eigaben!U10</f>
        <v/>
      </c>
    </row>
    <row r="9" spans="1:10" ht="15.5" hidden="1">
      <c r="A9" s="30"/>
      <c r="B9" s="22"/>
      <c r="C9" s="169"/>
      <c r="D9" s="263"/>
      <c r="E9" s="169"/>
      <c r="F9" s="321"/>
      <c r="G9" s="321"/>
      <c r="H9" s="169"/>
      <c r="J9" s="255" t="str">
        <f>Eigaben!U11</f>
        <v/>
      </c>
    </row>
    <row r="10" spans="1:10" ht="15.5" hidden="1">
      <c r="A10" s="30"/>
      <c r="B10" s="1109" t="s">
        <v>1109</v>
      </c>
      <c r="C10" s="1109"/>
      <c r="D10" s="263"/>
      <c r="E10" s="169"/>
      <c r="F10" s="321"/>
      <c r="G10" s="321"/>
      <c r="H10" s="169"/>
      <c r="J10" s="255" t="str">
        <f>Eigaben!U12</f>
        <v/>
      </c>
    </row>
    <row r="11" spans="1:10" ht="15.5" hidden="1">
      <c r="A11" s="30"/>
      <c r="B11" s="22"/>
      <c r="C11" s="12"/>
      <c r="D11" s="263"/>
      <c r="E11" s="12"/>
      <c r="F11" s="321"/>
      <c r="G11" s="321"/>
      <c r="H11" s="169"/>
      <c r="J11" s="255" t="str">
        <f>Eigaben!U13</f>
        <v/>
      </c>
    </row>
    <row r="12" spans="1:10" ht="15.5" hidden="1">
      <c r="A12" s="30">
        <v>1</v>
      </c>
      <c r="B12" s="22">
        <f>Eigaben!F28</f>
        <v>56</v>
      </c>
      <c r="C12" s="848" t="str">
        <f>Eigaben!H28</f>
        <v>TSV Jona 1( NLB O )</v>
      </c>
      <c r="D12" s="263">
        <f>Eigaben!G28</f>
        <v>71</v>
      </c>
      <c r="E12" s="169" t="str">
        <f>Eigaben!K28</f>
        <v>STV Wigoltingen   ( NLA )</v>
      </c>
      <c r="F12" s="321">
        <f>Eigaben!$L28</f>
        <v>5</v>
      </c>
      <c r="G12" s="321">
        <f>Eigaben!$N28</f>
        <v>2</v>
      </c>
      <c r="H12" s="842" t="s">
        <v>1349</v>
      </c>
      <c r="I12" s="30">
        <v>1</v>
      </c>
      <c r="J12" s="255" t="str">
        <f>Eigaben!U28</f>
        <v>Friedlos Manfred</v>
      </c>
    </row>
    <row r="13" spans="1:10" ht="15.5" hidden="1">
      <c r="A13" s="30">
        <v>2</v>
      </c>
      <c r="B13" s="22">
        <f>Eigaben!F29</f>
        <v>58</v>
      </c>
      <c r="C13" s="169" t="str">
        <f>Eigaben!H29</f>
        <v>TV Oberwinterthur  (NLB )</v>
      </c>
      <c r="D13" s="263">
        <f>Eigaben!G29</f>
        <v>54</v>
      </c>
      <c r="E13" s="848" t="str">
        <f>Eigaben!K29</f>
        <v>STV Dozwil ( NLB O )</v>
      </c>
      <c r="F13" s="321">
        <f>Eigaben!$L29</f>
        <v>2</v>
      </c>
      <c r="G13" s="321">
        <f>Eigaben!$N29</f>
        <v>5</v>
      </c>
      <c r="H13" s="169" t="s">
        <v>1346</v>
      </c>
      <c r="I13" s="30">
        <v>2</v>
      </c>
      <c r="J13" s="255" t="str">
        <f>Eigaben!U29</f>
        <v>Graf Daniel</v>
      </c>
    </row>
    <row r="14" spans="1:10" ht="15.5" hidden="1">
      <c r="A14" s="30">
        <v>3</v>
      </c>
      <c r="B14" s="22">
        <f>Eigaben!F30</f>
        <v>42</v>
      </c>
      <c r="C14" s="169" t="str">
        <f>Eigaben!H30</f>
        <v>STV Felben-W.hausen ( 2. Liga )</v>
      </c>
      <c r="D14" s="263">
        <f>Eigaben!G30</f>
        <v>59</v>
      </c>
      <c r="E14" s="848" t="str">
        <f>Eigaben!K30</f>
        <v>STV Rickenbach-Wilen 2 ( NLB )</v>
      </c>
      <c r="F14" s="321">
        <f>Eigaben!$L30</f>
        <v>3</v>
      </c>
      <c r="G14" s="321">
        <f>Eigaben!$N30</f>
        <v>5</v>
      </c>
      <c r="H14" s="169" t="s">
        <v>1327</v>
      </c>
      <c r="I14" s="30">
        <v>3</v>
      </c>
      <c r="J14" s="255" t="str">
        <f>Eigaben!U30</f>
        <v>Tenini Rico</v>
      </c>
    </row>
    <row r="15" spans="1:10" ht="15.5" hidden="1">
      <c r="A15" s="30">
        <v>4</v>
      </c>
      <c r="B15" s="22">
        <f>Eigaben!F31</f>
        <v>55</v>
      </c>
      <c r="C15" s="169" t="str">
        <f>Eigaben!H31</f>
        <v>FG Elgg-Ettenhausen 2 ( NLB O )</v>
      </c>
      <c r="D15" s="263">
        <f>Eigaben!G31</f>
        <v>65</v>
      </c>
      <c r="E15" s="848" t="str">
        <f>Eigaben!K31</f>
        <v>SVD Diepoldsau-Schmitter (NLA)</v>
      </c>
      <c r="F15" s="321">
        <f>Eigaben!$L31</f>
        <v>3</v>
      </c>
      <c r="G15" s="321">
        <f>Eigaben!$N31</f>
        <v>5</v>
      </c>
      <c r="H15" s="169" t="s">
        <v>1339</v>
      </c>
      <c r="I15" s="30">
        <v>4</v>
      </c>
      <c r="J15" s="255" t="str">
        <f>Eigaben!U31</f>
        <v>Ziereisen Daniel</v>
      </c>
    </row>
    <row r="16" spans="1:10" ht="15.5" hidden="1">
      <c r="A16" s="30">
        <v>5</v>
      </c>
      <c r="B16" s="22">
        <f>Eigaben!F32</f>
        <v>53</v>
      </c>
      <c r="C16" s="169" t="str">
        <f>Eigaben!H32</f>
        <v>STV Dägerlen ( NLB O )</v>
      </c>
      <c r="D16" s="263">
        <f>Eigaben!G32</f>
        <v>67</v>
      </c>
      <c r="E16" s="848" t="str">
        <f>Eigaben!K32</f>
        <v>FG Fricktal ( NLA  )</v>
      </c>
      <c r="F16" s="321">
        <f>Eigaben!$L32</f>
        <v>1</v>
      </c>
      <c r="G16" s="321">
        <f>Eigaben!$N32</f>
        <v>5</v>
      </c>
      <c r="H16" s="169" t="s">
        <v>1328</v>
      </c>
      <c r="I16" s="30">
        <v>5</v>
      </c>
      <c r="J16" s="255" t="str">
        <f>Eigaben!U32</f>
        <v>Graf Daniel</v>
      </c>
    </row>
    <row r="17" spans="1:10" ht="15.5" hidden="1">
      <c r="A17" s="30">
        <v>6</v>
      </c>
      <c r="B17" s="22">
        <f>Eigaben!F33</f>
        <v>41</v>
      </c>
      <c r="C17" s="848" t="str">
        <f>Eigaben!H33</f>
        <v>FBV Ettenhausen ( 2. Liga S )</v>
      </c>
      <c r="D17" s="263">
        <f>Eigaben!G33</f>
        <v>50</v>
      </c>
      <c r="E17" s="169" t="str">
        <f>Eigaben!K33</f>
        <v xml:space="preserve">TSV Jona 2  ( 1. Liga O )  </v>
      </c>
      <c r="F17" s="321">
        <f>Eigaben!$L33</f>
        <v>5</v>
      </c>
      <c r="G17" s="321">
        <f>Eigaben!$N33</f>
        <v>2</v>
      </c>
      <c r="H17" s="169" t="s">
        <v>1318</v>
      </c>
      <c r="I17" s="30">
        <v>6</v>
      </c>
      <c r="J17" s="255" t="str">
        <f>Eigaben!U33</f>
        <v>Ziereisen Daniel</v>
      </c>
    </row>
    <row r="18" spans="1:10" ht="15.5" hidden="1">
      <c r="A18" s="30">
        <v>7</v>
      </c>
      <c r="B18" s="22">
        <f>Eigaben!F34</f>
        <v>46</v>
      </c>
      <c r="C18" s="169" t="str">
        <f>Eigaben!H34</f>
        <v>SUS Widnau   ( 2. Liga F )</v>
      </c>
      <c r="D18" s="263">
        <f>Eigaben!G34</f>
        <v>64</v>
      </c>
      <c r="E18" s="848" t="str">
        <f>Eigaben!K34</f>
        <v>STV Affeltrangen  ( NLA )</v>
      </c>
      <c r="F18" s="321">
        <f>Eigaben!$L34</f>
        <v>4</v>
      </c>
      <c r="G18" s="321">
        <f>Eigaben!$N34</f>
        <v>5</v>
      </c>
      <c r="H18" s="169" t="s">
        <v>1337</v>
      </c>
      <c r="I18" s="30">
        <v>7</v>
      </c>
      <c r="J18" s="255" t="str">
        <f>Eigaben!U34</f>
        <v>Meyerhans Richard</v>
      </c>
    </row>
    <row r="19" spans="1:10" ht="15.5" hidden="1">
      <c r="A19" s="30">
        <v>8</v>
      </c>
      <c r="B19" s="22">
        <f>Eigaben!F35</f>
        <v>38</v>
      </c>
      <c r="C19" s="169" t="str">
        <f>Eigaben!H35</f>
        <v>TSV Waldkirch ( 3. Liga F )</v>
      </c>
      <c r="D19" s="263">
        <f>Eigaben!G35</f>
        <v>70</v>
      </c>
      <c r="E19" s="848" t="str">
        <f>Eigaben!K35</f>
        <v>SUS Widnau   ( NLA )</v>
      </c>
      <c r="F19" s="321">
        <f>Eigaben!$L35</f>
        <v>1</v>
      </c>
      <c r="G19" s="321">
        <f>Eigaben!$N35</f>
        <v>5</v>
      </c>
      <c r="H19" s="169" t="s">
        <v>1335</v>
      </c>
      <c r="I19" s="30">
        <v>8</v>
      </c>
      <c r="J19" s="255" t="str">
        <f>Eigaben!U35</f>
        <v>Mähr Reto</v>
      </c>
    </row>
    <row r="20" spans="1:10" ht="15.5" hidden="1">
      <c r="A20" s="30">
        <v>9</v>
      </c>
      <c r="B20" s="22">
        <f>Eigaben!F36</f>
        <v>51</v>
      </c>
      <c r="C20" s="169" t="str">
        <f>Eigaben!H36</f>
        <v>STV Spreitenbach 1 ( 1. Liga W )</v>
      </c>
      <c r="D20" s="263">
        <f>Eigaben!G36</f>
        <v>68</v>
      </c>
      <c r="E20" s="848" t="str">
        <f>Eigaben!K36</f>
        <v>STV Oberentfelden   ( NLA )</v>
      </c>
      <c r="F20" s="321">
        <f>Eigaben!$L36</f>
        <v>0</v>
      </c>
      <c r="G20" s="321">
        <f>Eigaben!$N36</f>
        <v>5</v>
      </c>
      <c r="H20" s="169" t="s">
        <v>1315</v>
      </c>
      <c r="I20" s="30">
        <v>9</v>
      </c>
      <c r="J20" s="255" t="str">
        <f>Eigaben!U36</f>
        <v>Häner Rolf</v>
      </c>
    </row>
    <row r="21" spans="1:10" ht="15.5">
      <c r="A21" s="30">
        <v>10</v>
      </c>
      <c r="B21" s="22">
        <f>Eigaben!F37</f>
        <v>49</v>
      </c>
      <c r="C21" s="169" t="str">
        <f>Eigaben!H37</f>
        <v>FB Burgdorf (1. Liga  W)</v>
      </c>
      <c r="D21" s="263">
        <f>Eigaben!G37</f>
        <v>63</v>
      </c>
      <c r="E21" s="848" t="str">
        <f>Eigaben!K37</f>
        <v>STV Vordemwald 1 ( NLB W )</v>
      </c>
      <c r="F21" s="321">
        <f>Eigaben!$L37</f>
        <v>0</v>
      </c>
      <c r="G21" s="321">
        <f>Eigaben!$N37</f>
        <v>5</v>
      </c>
      <c r="H21" s="169" t="s">
        <v>1324</v>
      </c>
      <c r="I21" s="30">
        <v>10</v>
      </c>
      <c r="J21" s="255" t="str">
        <f>Eigaben!U37</f>
        <v>Baumberger Evi</v>
      </c>
    </row>
    <row r="22" spans="1:10" ht="15.5" hidden="1">
      <c r="A22" s="30">
        <v>11</v>
      </c>
      <c r="B22" s="22">
        <f>Eigaben!F38</f>
        <v>60</v>
      </c>
      <c r="C22" s="848" t="str">
        <f>Eigaben!H38</f>
        <v>STV Schlieren ( NLB O )</v>
      </c>
      <c r="D22" s="263">
        <f>Eigaben!G38</f>
        <v>62</v>
      </c>
      <c r="E22" s="169" t="str">
        <f>Eigaben!K38</f>
        <v>FB Schwellbrunn ( NLB  O)</v>
      </c>
      <c r="F22" s="321">
        <f>Eigaben!$L38</f>
        <v>5</v>
      </c>
      <c r="G22" s="321">
        <f>Eigaben!$N38</f>
        <v>1</v>
      </c>
      <c r="H22" s="169" t="s">
        <v>1325</v>
      </c>
      <c r="I22" s="30">
        <v>11</v>
      </c>
      <c r="J22" s="255" t="str">
        <f>Eigaben!U38</f>
        <v>Burkhalter Patrick</v>
      </c>
    </row>
    <row r="23" spans="1:10" ht="15.5" hidden="1">
      <c r="A23" s="30">
        <v>12</v>
      </c>
      <c r="B23" s="22">
        <f>Eigaben!F39</f>
        <v>44</v>
      </c>
      <c r="C23" s="848" t="str">
        <f>Eigaben!H39</f>
        <v>STV Oberentfelden   ( 2. Liga )</v>
      </c>
      <c r="D23" s="263">
        <f>Eigaben!G39</f>
        <v>57</v>
      </c>
      <c r="E23" s="169" t="str">
        <f>Eigaben!K39</f>
        <v>STV Kirchberg  ( NLB W )</v>
      </c>
      <c r="F23" s="321">
        <f>Eigaben!$L39</f>
        <v>5</v>
      </c>
      <c r="G23" s="321">
        <f>Eigaben!$N39</f>
        <v>0</v>
      </c>
      <c r="H23" s="169" t="s">
        <v>1336</v>
      </c>
      <c r="I23" s="30">
        <v>12</v>
      </c>
      <c r="J23" s="255" t="str">
        <f>Eigaben!U39</f>
        <v>Krautter Heinz</v>
      </c>
    </row>
    <row r="24" spans="1:10" ht="15.5" hidden="1">
      <c r="A24" s="30">
        <v>13</v>
      </c>
      <c r="B24" s="22">
        <f>Eigaben!F40</f>
        <v>48</v>
      </c>
      <c r="C24" s="848" t="str">
        <f>Eigaben!H40</f>
        <v>STV Alpnach  ( 1. Liga ) W</v>
      </c>
      <c r="D24" s="263">
        <f>Eigaben!G40</f>
        <v>61</v>
      </c>
      <c r="E24" s="169" t="str">
        <f>Eigaben!K40</f>
        <v>STV Schlossrued ( NLB W )</v>
      </c>
      <c r="F24" s="321">
        <f>Eigaben!$L40</f>
        <v>5</v>
      </c>
      <c r="G24" s="321">
        <f>Eigaben!$N40</f>
        <v>2</v>
      </c>
      <c r="H24" s="169" t="s">
        <v>1340</v>
      </c>
      <c r="I24" s="30">
        <v>13</v>
      </c>
      <c r="J24" s="255" t="str">
        <f>Eigaben!U40</f>
        <v>Shabanaj Valon</v>
      </c>
    </row>
    <row r="25" spans="1:10" ht="15.5" hidden="1">
      <c r="A25" s="30">
        <v>14</v>
      </c>
      <c r="B25" s="22">
        <f>Eigaben!F41</f>
        <v>39</v>
      </c>
      <c r="C25" s="169" t="str">
        <f>Eigaben!H41</f>
        <v>MR Beringen ( 2. Liga )</v>
      </c>
      <c r="D25" s="263">
        <f>Eigaben!G41</f>
        <v>69</v>
      </c>
      <c r="E25" s="848" t="str">
        <f>Eigaben!K41</f>
        <v>FG Rickenbach-Wilen ( NLA )</v>
      </c>
      <c r="F25" s="321">
        <f>Eigaben!$L41</f>
        <v>0</v>
      </c>
      <c r="G25" s="321">
        <f>Eigaben!$N41</f>
        <v>5</v>
      </c>
      <c r="H25" s="169" t="s">
        <v>1317</v>
      </c>
      <c r="I25" s="30">
        <v>14</v>
      </c>
      <c r="J25" s="255" t="str">
        <f>Eigaben!U41</f>
        <v>Chollet Cornelia</v>
      </c>
    </row>
    <row r="26" spans="1:10" ht="15.5" hidden="1">
      <c r="A26" s="30">
        <v>15</v>
      </c>
      <c r="B26" s="22">
        <f>Eigaben!F42</f>
        <v>40</v>
      </c>
      <c r="C26" s="169" t="str">
        <f>Eigaben!H42</f>
        <v>STV Elgg ( 2. Liga )</v>
      </c>
      <c r="D26" s="263">
        <f>Eigaben!G42</f>
        <v>47</v>
      </c>
      <c r="E26" s="848" t="str">
        <f>Eigaben!K42</f>
        <v xml:space="preserve">TV Widnau ( 2. Liga F ) </v>
      </c>
      <c r="F26" s="321">
        <f>Eigaben!$L42</f>
        <v>2</v>
      </c>
      <c r="G26" s="321">
        <f>Eigaben!$N42</f>
        <v>5</v>
      </c>
      <c r="H26" s="169" t="s">
        <v>1338</v>
      </c>
      <c r="I26" s="30">
        <v>15</v>
      </c>
      <c r="J26" s="255" t="str">
        <f>Eigaben!U42</f>
        <v>Meili René</v>
      </c>
    </row>
    <row r="27" spans="1:10" ht="15.5" hidden="1">
      <c r="A27" s="30">
        <v>16</v>
      </c>
      <c r="B27" s="22">
        <f>Eigaben!F43</f>
        <v>52</v>
      </c>
      <c r="C27" s="169" t="str">
        <f>Eigaben!H43</f>
        <v>STV Vordemwald 2  ( 1. Liga W)</v>
      </c>
      <c r="D27" s="263">
        <f>Eigaben!G43</f>
        <v>66</v>
      </c>
      <c r="E27" s="848" t="str">
        <f>Eigaben!K43</f>
        <v>FG Elgg-Ettenhausen 1 ( NLA )</v>
      </c>
      <c r="F27" s="321">
        <f>Eigaben!$L43</f>
        <v>1</v>
      </c>
      <c r="G27" s="321">
        <f>Eigaben!$N43</f>
        <v>5</v>
      </c>
      <c r="H27" s="169" t="s">
        <v>1314</v>
      </c>
      <c r="I27" s="30">
        <v>16</v>
      </c>
      <c r="J27" s="255" t="str">
        <f>Eigaben!U43</f>
        <v>Wagner Stephan</v>
      </c>
    </row>
    <row r="28" spans="1:10" ht="15.5" hidden="1">
      <c r="B28" s="169"/>
      <c r="C28" s="169" t="str">
        <f>Eigaben!H44</f>
        <v/>
      </c>
      <c r="E28" s="169"/>
      <c r="F28" s="321"/>
      <c r="G28" s="321"/>
      <c r="H28" s="169"/>
      <c r="J28" s="255"/>
    </row>
    <row r="29" spans="1:10" ht="15.5" hidden="1">
      <c r="B29" s="1109" t="s">
        <v>1342</v>
      </c>
      <c r="C29" s="1109"/>
      <c r="E29" s="169"/>
      <c r="F29" s="321"/>
      <c r="G29" s="321"/>
      <c r="H29" s="169"/>
      <c r="J29" s="255"/>
    </row>
    <row r="30" spans="1:10" ht="15.5">
      <c r="B30" s="169"/>
      <c r="C30" s="169"/>
      <c r="E30" s="169"/>
      <c r="F30" s="321"/>
      <c r="G30" s="321"/>
      <c r="H30" s="169"/>
      <c r="J30" s="255"/>
    </row>
    <row r="31" spans="1:10" ht="15.5">
      <c r="A31" s="3">
        <v>17</v>
      </c>
      <c r="B31">
        <f>IF(Eigaben!F50=0,"",Eigaben!F50)</f>
        <v>56</v>
      </c>
      <c r="C31" s="169" t="str">
        <f>VLOOKUP(B31,Eigaben!Y54:Z87,2,0)</f>
        <v>TSV Jona 1( NLB O )</v>
      </c>
      <c r="D31">
        <f>IF(Eigaben!G50=0,"",Eigaben!G50)</f>
        <v>54</v>
      </c>
      <c r="E31" s="169" t="str">
        <f>IF(Eigaben!G50=0,"",VLOOKUP(D31,Eigaben!Y54:Z94,2,0))</f>
        <v>STV Dozwil ( NLB O )</v>
      </c>
      <c r="F31" s="321">
        <f>Eigaben!L50</f>
        <v>5</v>
      </c>
      <c r="G31" s="321">
        <f>Eigaben!N50</f>
        <v>1</v>
      </c>
      <c r="H31" s="169" t="s">
        <v>1358</v>
      </c>
      <c r="I31" s="30">
        <v>17</v>
      </c>
      <c r="J31" s="255" t="str">
        <f>Eigaben!U50</f>
        <v>Meierhofer  Robert</v>
      </c>
    </row>
    <row r="32" spans="1:10" ht="15.5">
      <c r="A32" s="30">
        <v>18</v>
      </c>
      <c r="B32">
        <f>IF(Eigaben!F51=0,"",Eigaben!F51)</f>
        <v>59</v>
      </c>
      <c r="C32" s="169" t="str">
        <f>Eigaben!H51</f>
        <v>STV Rickenbach-Wilen 2 ( NLB )</v>
      </c>
      <c r="D32">
        <f>IF(Eigaben!G51=0,"",Eigaben!G51)</f>
        <v>65</v>
      </c>
      <c r="E32" s="847" t="str">
        <f>Eigaben!K51</f>
        <v>SVD Diepoldsau-Schmitter (NLA)</v>
      </c>
      <c r="F32" s="321">
        <f>Eigaben!L51</f>
        <v>2</v>
      </c>
      <c r="G32" s="321">
        <f>Eigaben!N51</f>
        <v>5</v>
      </c>
      <c r="H32" s="169" t="s">
        <v>1355</v>
      </c>
      <c r="I32" s="30">
        <v>18</v>
      </c>
      <c r="J32" s="255" t="str">
        <f>Eigaben!U51</f>
        <v>Sprenger  Fredy</v>
      </c>
    </row>
    <row r="33" spans="1:10" ht="15.5">
      <c r="A33" s="3">
        <v>19</v>
      </c>
      <c r="B33">
        <f>IF(Eigaben!F52=0,"",Eigaben!F52)</f>
        <v>41</v>
      </c>
      <c r="C33" s="169" t="str">
        <f>Eigaben!H52</f>
        <v>FBV Ettenhausen ( 2. Liga S )</v>
      </c>
      <c r="D33">
        <f>IF(Eigaben!G52=0,"",Eigaben!G52)</f>
        <v>67</v>
      </c>
      <c r="E33" s="847" t="str">
        <f>Eigaben!K52</f>
        <v>FG Fricktal ( NLA  )</v>
      </c>
      <c r="F33" s="321">
        <f>Eigaben!L52</f>
        <v>5</v>
      </c>
      <c r="G33" s="321">
        <f>Eigaben!N52</f>
        <v>4</v>
      </c>
      <c r="H33" s="169" t="s">
        <v>1351</v>
      </c>
      <c r="I33" s="30">
        <v>19</v>
      </c>
      <c r="J33" s="255" t="str">
        <f>Eigaben!U52</f>
        <v>Ziereisen  Daniel</v>
      </c>
    </row>
    <row r="34" spans="1:10" ht="15.5">
      <c r="A34" s="30">
        <v>20</v>
      </c>
      <c r="B34">
        <f>IF(Eigaben!F53=0,"",Eigaben!F53)</f>
        <v>70</v>
      </c>
      <c r="C34" s="169" t="str">
        <f>Eigaben!H53</f>
        <v>SUS Widnau   ( NLA )</v>
      </c>
      <c r="D34">
        <f>IF(Eigaben!G53=0,"",Eigaben!G53)</f>
        <v>64</v>
      </c>
      <c r="E34" s="847" t="str">
        <f>Eigaben!K53</f>
        <v>STV Affeltrangen  ( NLA )</v>
      </c>
      <c r="F34" s="321">
        <f>Eigaben!L53</f>
        <v>3</v>
      </c>
      <c r="G34" s="321">
        <f>Eigaben!N53</f>
        <v>5</v>
      </c>
      <c r="H34" s="169" t="s">
        <v>1360</v>
      </c>
      <c r="I34" s="30">
        <v>20</v>
      </c>
      <c r="J34" s="255" t="str">
        <f>Eigaben!U53</f>
        <v>Sieber  Patrick</v>
      </c>
    </row>
    <row r="35" spans="1:10" ht="15.5">
      <c r="A35" s="3">
        <v>21</v>
      </c>
      <c r="B35">
        <f>IF(Eigaben!F54=0,"",Eigaben!F54)</f>
        <v>63</v>
      </c>
      <c r="C35" s="169" t="str">
        <f>Eigaben!H54</f>
        <v>STV Vordemwald 1 ( NLB W )</v>
      </c>
      <c r="D35">
        <f>IF(Eigaben!G54=0,"",Eigaben!G54)</f>
        <v>68</v>
      </c>
      <c r="E35" s="847" t="str">
        <f>Eigaben!K54</f>
        <v>STV Oberentfelden   ( NLA )</v>
      </c>
      <c r="F35" s="321">
        <f>Eigaben!L54</f>
        <v>1</v>
      </c>
      <c r="G35" s="321">
        <f>Eigaben!N54</f>
        <v>5</v>
      </c>
      <c r="H35" s="169" t="s">
        <v>1343</v>
      </c>
      <c r="I35" s="30">
        <v>21</v>
      </c>
      <c r="J35" s="255" t="str">
        <f>Eigaben!U54</f>
        <v>Wagner  Stephan</v>
      </c>
    </row>
    <row r="36" spans="1:10" ht="15.5">
      <c r="A36" s="30">
        <v>22</v>
      </c>
      <c r="B36">
        <f>IF(Eigaben!F55=0,"",Eigaben!F55)</f>
        <v>44</v>
      </c>
      <c r="C36" s="847" t="str">
        <f>Eigaben!H55</f>
        <v>STV Oberentfelden   ( 2. Liga )</v>
      </c>
      <c r="D36">
        <f>IF(Eigaben!G55=0,"",Eigaben!G55)</f>
        <v>60</v>
      </c>
      <c r="E36" s="169" t="str">
        <f>Eigaben!K55</f>
        <v>STV Schlieren ( NLB O )</v>
      </c>
      <c r="F36" s="321">
        <f>Eigaben!L55</f>
        <v>5</v>
      </c>
      <c r="G36" s="321">
        <f>Eigaben!N55</f>
        <v>0</v>
      </c>
      <c r="H36" s="169" t="s">
        <v>1356</v>
      </c>
      <c r="I36" s="30">
        <v>22</v>
      </c>
      <c r="J36" s="255" t="str">
        <f>Eigaben!U55</f>
        <v>Hochuli  Luca</v>
      </c>
    </row>
    <row r="37" spans="1:10" ht="15.5">
      <c r="A37" s="3">
        <v>23</v>
      </c>
      <c r="B37">
        <f>IF(Eigaben!F56=0,"",Eigaben!F56)</f>
        <v>48</v>
      </c>
      <c r="C37" s="169" t="str">
        <f>Eigaben!H56</f>
        <v>STV Alpnach  ( 1. Liga ) W</v>
      </c>
      <c r="D37">
        <f>IF(Eigaben!G56=0,"",Eigaben!G56)</f>
        <v>69</v>
      </c>
      <c r="E37" s="847" t="str">
        <f>Eigaben!K56</f>
        <v>FG Rickenbach-Wilen ( NLA )</v>
      </c>
      <c r="F37" s="321">
        <f>Eigaben!L56</f>
        <v>2</v>
      </c>
      <c r="G37" s="321">
        <f>Eigaben!N56</f>
        <v>5</v>
      </c>
      <c r="H37" s="169" t="s">
        <v>1352</v>
      </c>
      <c r="I37" s="30">
        <v>23</v>
      </c>
      <c r="J37" s="255" t="str">
        <f>Eigaben!U56</f>
        <v>Leu  Peter</v>
      </c>
    </row>
    <row r="38" spans="1:10" ht="15.5">
      <c r="A38" s="30">
        <v>24</v>
      </c>
      <c r="B38">
        <f>IF(Eigaben!F57=0,"",Eigaben!F57)</f>
        <v>47</v>
      </c>
      <c r="C38" s="169" t="str">
        <f>Eigaben!H57</f>
        <v xml:space="preserve">TV Widnau ( 2. Liga F ) </v>
      </c>
      <c r="D38">
        <f>IF(Eigaben!G57=0,"",Eigaben!G57)</f>
        <v>66</v>
      </c>
      <c r="E38" s="169" t="str">
        <f>Eigaben!K57</f>
        <v>FG Elgg-Ettenhausen 1 ( NLA )</v>
      </c>
      <c r="F38" s="321">
        <f>Eigaben!L57</f>
        <v>4</v>
      </c>
      <c r="G38" s="321">
        <f>Eigaben!N57</f>
        <v>5</v>
      </c>
      <c r="H38" s="169" t="s">
        <v>1361</v>
      </c>
      <c r="I38" s="30">
        <v>24</v>
      </c>
      <c r="J38" s="255" t="str">
        <f>Eigaben!U57</f>
        <v>Meyerhans  Richard</v>
      </c>
    </row>
    <row r="39" spans="1:10" ht="15.5">
      <c r="A39" s="30"/>
      <c r="B39" s="169"/>
      <c r="C39" s="169"/>
      <c r="E39" s="169"/>
      <c r="F39" s="321"/>
      <c r="G39" s="321"/>
      <c r="H39" s="169"/>
      <c r="J39" s="255"/>
    </row>
    <row r="40" spans="1:10" ht="15.5">
      <c r="B40" s="1109" t="s">
        <v>1344</v>
      </c>
      <c r="C40" s="1109"/>
      <c r="E40" s="169"/>
      <c r="F40" s="321"/>
      <c r="G40" s="321"/>
      <c r="H40" s="169"/>
      <c r="J40" s="255"/>
    </row>
    <row r="41" spans="1:10" ht="15.5">
      <c r="B41" s="169"/>
      <c r="C41" s="169"/>
      <c r="E41" s="169"/>
      <c r="F41" s="321"/>
      <c r="G41" s="321"/>
      <c r="H41" s="169"/>
      <c r="J41" s="255"/>
    </row>
    <row r="42" spans="1:10" ht="15.5">
      <c r="A42">
        <v>25</v>
      </c>
      <c r="B42" s="169">
        <f>Eigaben!F64</f>
        <v>56</v>
      </c>
      <c r="C42" s="169" t="str">
        <f>Eigaben!H64</f>
        <v>TSV Jona 1( NLB O )</v>
      </c>
      <c r="D42">
        <f>Eigaben!G64</f>
        <v>65</v>
      </c>
      <c r="E42" s="169" t="str">
        <f>Eigaben!K64</f>
        <v>SVD Diepoldsau-Schmitter (NLA)</v>
      </c>
      <c r="F42" s="321">
        <f>Eigaben!L64</f>
        <v>1</v>
      </c>
      <c r="G42" s="321">
        <f>Eigaben!N64</f>
        <v>5</v>
      </c>
      <c r="H42" s="169" t="s">
        <v>1359</v>
      </c>
      <c r="I42" s="30">
        <v>25</v>
      </c>
      <c r="J42" s="255" t="str">
        <f>Eigaben!U64</f>
        <v>Kammer  Sebastian</v>
      </c>
    </row>
    <row r="43" spans="1:10" ht="15.5">
      <c r="A43">
        <v>26</v>
      </c>
      <c r="B43" s="169">
        <f>Eigaben!F65</f>
        <v>41</v>
      </c>
      <c r="C43" s="169" t="str">
        <f>Eigaben!H65</f>
        <v>FBV Ettenhausen ( 2. Liga S )</v>
      </c>
      <c r="D43">
        <f>Eigaben!G65</f>
        <v>64</v>
      </c>
      <c r="E43" s="169" t="str">
        <f>Eigaben!K65</f>
        <v>STV Affeltrangen  ( NLA )</v>
      </c>
      <c r="F43" s="321">
        <f>Eigaben!L65</f>
        <v>1</v>
      </c>
      <c r="G43" s="321">
        <f>Eigaben!N65</f>
        <v>5</v>
      </c>
      <c r="H43" s="169" t="s">
        <v>1365</v>
      </c>
      <c r="I43" s="30">
        <v>26</v>
      </c>
      <c r="J43" s="255" t="str">
        <f>Eigaben!U65</f>
        <v>Ziereisen  Daniel</v>
      </c>
    </row>
    <row r="44" spans="1:10" ht="15.5">
      <c r="A44">
        <v>27</v>
      </c>
      <c r="B44" s="169">
        <f>Eigaben!F66</f>
        <v>44</v>
      </c>
      <c r="C44" s="169" t="str">
        <f>Eigaben!H66</f>
        <v>STV Oberentfelden   ( 2. Liga )</v>
      </c>
      <c r="D44">
        <f>Eigaben!G66</f>
        <v>68</v>
      </c>
      <c r="E44" s="169" t="str">
        <f>Eigaben!K66</f>
        <v>STV Oberentfelden   ( NLA )</v>
      </c>
      <c r="F44" s="321">
        <f>Eigaben!L66</f>
        <v>5</v>
      </c>
      <c r="G44" s="321">
        <f>Eigaben!N66</f>
        <v>0</v>
      </c>
      <c r="H44" s="169" t="s">
        <v>1366</v>
      </c>
      <c r="I44" s="30">
        <v>27</v>
      </c>
      <c r="J44" s="255" t="str">
        <f>Eigaben!U66</f>
        <v>Hochuli  Luca</v>
      </c>
    </row>
    <row r="45" spans="1:10" ht="15.5">
      <c r="A45">
        <v>28</v>
      </c>
      <c r="B45" s="169">
        <f>Eigaben!F67</f>
        <v>69</v>
      </c>
      <c r="C45" s="169" t="str">
        <f>Eigaben!H67</f>
        <v>FG Rickenbach-Wilen ( NLA )</v>
      </c>
      <c r="D45">
        <f>Eigaben!G67</f>
        <v>66</v>
      </c>
      <c r="E45" s="169" t="str">
        <f>Eigaben!K67</f>
        <v>FG Elgg-Ettenhausen 1 ( NLA )</v>
      </c>
      <c r="F45" s="321">
        <f>Eigaben!L67</f>
        <v>3</v>
      </c>
      <c r="G45" s="321">
        <f>Eigaben!N67</f>
        <v>5</v>
      </c>
      <c r="H45" s="169" t="s">
        <v>1368</v>
      </c>
      <c r="I45" s="30">
        <v>28</v>
      </c>
      <c r="J45" s="255" t="str">
        <f>Eigaben!U67</f>
        <v>Mähr  Reto</v>
      </c>
    </row>
    <row r="46" spans="1:10" ht="15.5">
      <c r="B46" s="169"/>
      <c r="C46" s="169"/>
      <c r="E46" s="169"/>
      <c r="F46" s="321"/>
      <c r="G46" s="321"/>
      <c r="H46" s="169"/>
      <c r="J46" s="255" t="str">
        <f>Eigaben!U68</f>
        <v/>
      </c>
    </row>
    <row r="47" spans="1:10" ht="15.5">
      <c r="B47" s="1109" t="s">
        <v>1369</v>
      </c>
      <c r="C47" s="1109"/>
      <c r="E47" s="169"/>
      <c r="F47" s="321"/>
      <c r="G47" s="321"/>
      <c r="H47" s="169"/>
      <c r="J47" s="255"/>
    </row>
    <row r="48" spans="1:10" ht="15.5">
      <c r="B48" s="169"/>
      <c r="C48" s="169"/>
      <c r="E48" s="169"/>
      <c r="F48" s="321"/>
      <c r="G48" s="321"/>
      <c r="H48" s="169"/>
      <c r="J48" s="255"/>
    </row>
    <row r="49" spans="2:10" ht="15.5">
      <c r="B49" s="169">
        <v>65</v>
      </c>
      <c r="C49" s="169" t="str">
        <f>Eigaben!H73</f>
        <v>SVD Diepoldsau-Schmitter (NLA)</v>
      </c>
      <c r="D49">
        <v>64</v>
      </c>
      <c r="E49" s="169" t="str">
        <f>Eigaben!K73</f>
        <v>STV Affeltrangen  ( NLA )</v>
      </c>
      <c r="F49" s="321">
        <f>Eigaben!L73</f>
        <v>1</v>
      </c>
      <c r="G49" s="321">
        <f>Eigaben!N73</f>
        <v>5</v>
      </c>
      <c r="H49" s="169" t="s">
        <v>1370</v>
      </c>
      <c r="I49" s="30">
        <v>28</v>
      </c>
      <c r="J49" s="255" t="str">
        <f>Eigaben!U73</f>
        <v>Sieber  Patrick</v>
      </c>
    </row>
    <row r="50" spans="2:10" ht="15.5">
      <c r="B50" s="169">
        <f>Eigaben!F74</f>
        <v>44</v>
      </c>
      <c r="C50" s="169" t="str">
        <f>Eigaben!H74</f>
        <v>STV Oberentfelden   ( 2. Liga )</v>
      </c>
      <c r="D50">
        <v>66</v>
      </c>
      <c r="E50" s="169" t="str">
        <f>Eigaben!K74</f>
        <v>FG Elgg-Ettenhausen 1 ( NLA )</v>
      </c>
      <c r="F50" s="321" t="str">
        <f>Eigaben!L72</f>
        <v>Resultat</v>
      </c>
      <c r="G50" s="321">
        <f>Eigaben!N72</f>
        <v>0</v>
      </c>
      <c r="H50" s="169"/>
      <c r="I50" s="30">
        <v>28</v>
      </c>
      <c r="J50" s="255" t="str">
        <f>Eigaben!U74</f>
        <v/>
      </c>
    </row>
    <row r="51" spans="2:10" ht="15.5">
      <c r="B51" s="169"/>
      <c r="C51" s="169"/>
      <c r="E51" s="169"/>
      <c r="F51" s="321"/>
      <c r="G51" s="321"/>
      <c r="H51" s="169"/>
      <c r="J51" s="255"/>
    </row>
    <row r="52" spans="2:10" ht="15.5">
      <c r="B52" s="169"/>
      <c r="C52" s="169"/>
      <c r="E52" s="169"/>
      <c r="F52" s="321"/>
      <c r="G52" s="321"/>
      <c r="H52" s="169"/>
      <c r="J52" s="255"/>
    </row>
    <row r="53" spans="2:10" ht="15.5">
      <c r="B53" s="169"/>
      <c r="C53" s="169"/>
      <c r="E53" s="169"/>
      <c r="F53" s="321"/>
      <c r="G53" s="321"/>
      <c r="H53" s="169"/>
      <c r="J53" s="255"/>
    </row>
    <row r="54" spans="2:10" ht="15.5">
      <c r="B54" s="169">
        <f>Eigaben!F76</f>
        <v>0</v>
      </c>
      <c r="C54" s="169" t="str">
        <f>Eigaben!H76</f>
        <v/>
      </c>
      <c r="D54">
        <f>Eigaben!G76</f>
        <v>0</v>
      </c>
      <c r="E54" s="169" t="str">
        <f>Eigaben!K76</f>
        <v/>
      </c>
      <c r="F54" s="321">
        <f>Eigaben!L76</f>
        <v>0</v>
      </c>
      <c r="G54" s="321">
        <f>Eigaben!N76</f>
        <v>0</v>
      </c>
      <c r="H54" s="169"/>
      <c r="I54" s="30">
        <v>28</v>
      </c>
      <c r="J54" s="255" t="str">
        <f>Eigaben!U76</f>
        <v/>
      </c>
    </row>
    <row r="55" spans="2:10" ht="15.5">
      <c r="B55" s="169">
        <f>Eigaben!F77</f>
        <v>0</v>
      </c>
      <c r="C55" s="169" t="str">
        <f>Eigaben!H77</f>
        <v/>
      </c>
      <c r="D55">
        <f>Eigaben!G77</f>
        <v>0</v>
      </c>
      <c r="E55" s="169" t="str">
        <f>Eigaben!K77</f>
        <v/>
      </c>
      <c r="F55" s="321">
        <f>Eigaben!L77</f>
        <v>0</v>
      </c>
      <c r="G55" s="321">
        <f>Eigaben!N77</f>
        <v>0</v>
      </c>
      <c r="H55" s="169"/>
      <c r="I55" s="30">
        <v>28</v>
      </c>
      <c r="J55" s="255" t="str">
        <f>Eigaben!U77</f>
        <v/>
      </c>
    </row>
    <row r="56" spans="2:10" ht="15.5">
      <c r="B56" s="169">
        <f>Eigaben!F78</f>
        <v>0</v>
      </c>
      <c r="C56" s="169" t="str">
        <f>Eigaben!H78</f>
        <v/>
      </c>
      <c r="D56">
        <f>Eigaben!G78</f>
        <v>0</v>
      </c>
      <c r="E56" s="169" t="str">
        <f>Eigaben!K78</f>
        <v/>
      </c>
      <c r="F56" s="321">
        <f>Eigaben!L78</f>
        <v>0</v>
      </c>
      <c r="G56" s="321">
        <f>Eigaben!N78</f>
        <v>0</v>
      </c>
      <c r="H56" s="169"/>
      <c r="I56" s="30">
        <v>28</v>
      </c>
      <c r="J56" s="255" t="str">
        <f>Eigaben!U78</f>
        <v/>
      </c>
    </row>
    <row r="57" spans="2:10" ht="14">
      <c r="B57" s="169"/>
      <c r="C57" s="169"/>
      <c r="E57" s="169"/>
    </row>
    <row r="58" spans="2:10" ht="14">
      <c r="B58" s="169"/>
      <c r="C58" s="169"/>
      <c r="E58" s="169"/>
    </row>
    <row r="59" spans="2:10" ht="14">
      <c r="B59" s="169"/>
      <c r="C59" s="169"/>
      <c r="E59" s="169"/>
    </row>
    <row r="60" spans="2:10" ht="14">
      <c r="B60" s="169"/>
      <c r="C60" s="169"/>
      <c r="E60" s="169"/>
    </row>
    <row r="61" spans="2:10" ht="14">
      <c r="B61" s="169"/>
      <c r="C61" s="169"/>
      <c r="E61" s="169"/>
    </row>
    <row r="62" spans="2:10" ht="14">
      <c r="B62" s="169"/>
      <c r="C62" s="169"/>
    </row>
    <row r="63" spans="2:10" ht="14">
      <c r="B63" s="169"/>
      <c r="C63" s="169"/>
    </row>
    <row r="64" spans="2:10" ht="14">
      <c r="B64" s="169"/>
      <c r="C64" s="169"/>
    </row>
    <row r="65" spans="2:3" ht="14">
      <c r="B65" s="169"/>
      <c r="C65" s="169"/>
    </row>
  </sheetData>
  <autoFilter ref="A3:J29" xr:uid="{46967F95-C741-4C1C-AB6D-5646D1583672}">
    <filterColumn colId="1" showButton="0"/>
    <filterColumn colId="9">
      <filters>
        <filter val="Baumberger Evi"/>
      </filters>
    </filterColumn>
  </autoFilter>
  <mergeCells count="7">
    <mergeCell ref="B47:C47"/>
    <mergeCell ref="B40:C40"/>
    <mergeCell ref="D1:E1"/>
    <mergeCell ref="B10:C10"/>
    <mergeCell ref="A1:C1"/>
    <mergeCell ref="B3:C3"/>
    <mergeCell ref="B29:C29"/>
  </mergeCells>
  <pageMargins left="0.31496062992125984" right="0.27559055118110237" top="0.78740157480314965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tr">
        <f>Eigaben!B6</f>
        <v>A</v>
      </c>
      <c r="Z5" s="1182"/>
      <c r="AA5" s="1193"/>
      <c r="AC5" s="156"/>
      <c r="AD5" s="265"/>
      <c r="AE5" s="172"/>
    </row>
    <row r="6" spans="1:33" ht="9" customHeight="1" thickBot="1">
      <c r="A6" s="363">
        <f>Eigaben!F6</f>
        <v>45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Eigaben!G6</f>
        <v>46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Töss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SUS Widnau   ( 2. Liga F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Benjamin Boldo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Marco Nüesch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Metzggasse 6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8400 Winterthur</v>
      </c>
      <c r="H10" s="1112"/>
      <c r="I10" s="1112"/>
      <c r="J10" s="1112"/>
      <c r="K10" s="1112"/>
      <c r="L10" s="1112"/>
      <c r="M10" s="1113"/>
      <c r="N10" s="22"/>
      <c r="O10" s="1188" t="str">
        <f>VLOOKUP($O$6,Eigaben!$Y$17:$AH$103,5,1)</f>
        <v xml:space="preserve"> </v>
      </c>
      <c r="P10" s="1189"/>
      <c r="Q10" s="1189"/>
      <c r="R10" s="1189"/>
      <c r="S10" s="1189"/>
      <c r="T10" s="1190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076 320 86 65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079 404 47 21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b.boldo@bluewin.ch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marco.nueesch@faustball-widnau.ch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 t="str">
        <f>Eigaben!C6</f>
        <v>A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IF(Eigaben!C6=0," ",VLOOKUP(C13,Eigaben!$C$6:$V$22,13,0))</f>
        <v>45782</v>
      </c>
      <c r="B15" s="1199"/>
      <c r="C15" s="1199"/>
      <c r="D15" s="1199"/>
      <c r="E15" s="1199"/>
      <c r="F15" s="1199"/>
      <c r="G15" s="1194">
        <f>IF(Eigaben!C6=0," ",VLOOKUP(C13,Eigaben!$C$6:$V$22,14,0))</f>
        <v>0.8125</v>
      </c>
      <c r="H15" s="1194"/>
      <c r="I15" s="1194"/>
      <c r="J15" s="1194"/>
      <c r="K15" s="1194"/>
      <c r="L15" s="1195" t="str">
        <f>IF(Eigaben!C6=0,"",VLOOKUP(C13,Eigaben!$C$6:$V$22,15,0))</f>
        <v>Winterthur</v>
      </c>
      <c r="M15" s="1196"/>
      <c r="N15" s="1196"/>
      <c r="O15" s="1196"/>
      <c r="P15" s="1196"/>
      <c r="Q15" s="1196"/>
      <c r="R15" s="1196"/>
      <c r="S15" s="1197"/>
      <c r="T15" s="1183" t="str">
        <f>IF(Eigaben!C6=0,"",VLOOKUP(C13,Eigaben!C6:V22,16,0))</f>
        <v>Schulhaus Tössfeld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Eigaben!T6</f>
        <v>76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134" t="str">
        <f>IF(C16=0,"",VLOOKUP(C16,Schiri_25!A2:L181,3,1)&amp;" "&amp;VLOOKUP(C16,Schiri_25!A2:L181,2,1))</f>
        <v>Manuel Werder</v>
      </c>
      <c r="B19" s="1135"/>
      <c r="C19" s="1135"/>
      <c r="D19" s="1135"/>
      <c r="E19" s="1135"/>
      <c r="F19" s="1136"/>
      <c r="G19" s="860" t="str">
        <f>IF(C16=0,"",VLOOKUP(C16,Schiri_25!A2:L181,9,1))</f>
        <v>+41 79 823 98 71</v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130" t="str">
        <f>IF(C16=0,"",VLOOKUP(C16,Schiri_25!A2:L181,12,1))</f>
        <v>schmaerae@bluewin.ch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</f>
        <v>5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1054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J27:AM27"/>
    <mergeCell ref="V27:W27"/>
    <mergeCell ref="T27:U27"/>
    <mergeCell ref="M27:S27"/>
    <mergeCell ref="AC18:AD20"/>
    <mergeCell ref="Y27:AA27"/>
    <mergeCell ref="M19:Q19"/>
    <mergeCell ref="A20:AA20"/>
    <mergeCell ref="G19:L19"/>
    <mergeCell ref="G27:I27"/>
    <mergeCell ref="AC3:AE3"/>
    <mergeCell ref="AC7:AD7"/>
    <mergeCell ref="AE7:AF7"/>
    <mergeCell ref="N7:N8"/>
    <mergeCell ref="A3:AA3"/>
    <mergeCell ref="E1:V1"/>
    <mergeCell ref="A5:E5"/>
    <mergeCell ref="O8:AA8"/>
    <mergeCell ref="Y5:AA5"/>
    <mergeCell ref="U5:X5"/>
    <mergeCell ref="O7:AA7"/>
    <mergeCell ref="A7:M7"/>
    <mergeCell ref="F5:L5"/>
    <mergeCell ref="O5:T5"/>
    <mergeCell ref="M5:N5"/>
    <mergeCell ref="A9:M9"/>
    <mergeCell ref="L14:S14"/>
    <mergeCell ref="T15:AA15"/>
    <mergeCell ref="O9:AA9"/>
    <mergeCell ref="A10:F10"/>
    <mergeCell ref="O10:T10"/>
    <mergeCell ref="U10:AA10"/>
    <mergeCell ref="A14:F14"/>
    <mergeCell ref="T14:AA14"/>
    <mergeCell ref="G14:K14"/>
    <mergeCell ref="G15:K15"/>
    <mergeCell ref="L15:S15"/>
    <mergeCell ref="A15:F15"/>
    <mergeCell ref="O12:AA12"/>
    <mergeCell ref="U11:AA11"/>
    <mergeCell ref="A12:M12"/>
    <mergeCell ref="C51:I51"/>
    <mergeCell ref="J45:P45"/>
    <mergeCell ref="R45:Y45"/>
    <mergeCell ref="A44:AA44"/>
    <mergeCell ref="A42:C42"/>
    <mergeCell ref="U48:W48"/>
    <mergeCell ref="A48:T48"/>
    <mergeCell ref="A45:I45"/>
    <mergeCell ref="X48:AA48"/>
    <mergeCell ref="V42:X42"/>
    <mergeCell ref="D42:U42"/>
    <mergeCell ref="Y42:AA42"/>
    <mergeCell ref="A35:AA35"/>
    <mergeCell ref="A17:L17"/>
    <mergeCell ref="M17:P17"/>
    <mergeCell ref="Q17:S17"/>
    <mergeCell ref="U17:X17"/>
    <mergeCell ref="Y17:AA17"/>
    <mergeCell ref="AC15:AD16"/>
    <mergeCell ref="AC17:AD17"/>
    <mergeCell ref="AC32:AD32"/>
    <mergeCell ref="AC24:AD25"/>
    <mergeCell ref="AC27:AD27"/>
    <mergeCell ref="A40:C40"/>
    <mergeCell ref="D40:F40"/>
    <mergeCell ref="A25:C25"/>
    <mergeCell ref="A39:AA39"/>
    <mergeCell ref="A31:AA31"/>
    <mergeCell ref="A37:AA37"/>
    <mergeCell ref="A38:AA38"/>
    <mergeCell ref="V40:X40"/>
    <mergeCell ref="Y40:AA40"/>
    <mergeCell ref="G40:I40"/>
    <mergeCell ref="J40:L40"/>
    <mergeCell ref="M40:O40"/>
    <mergeCell ref="P40:R40"/>
    <mergeCell ref="S40:U40"/>
    <mergeCell ref="A36:F36"/>
    <mergeCell ref="G36:AA36"/>
    <mergeCell ref="G10:M10"/>
    <mergeCell ref="AC34:AD34"/>
    <mergeCell ref="A32:D32"/>
    <mergeCell ref="E32:Q32"/>
    <mergeCell ref="R32:AA32"/>
    <mergeCell ref="A29:AA29"/>
    <mergeCell ref="A33:AA33"/>
    <mergeCell ref="M34:O34"/>
    <mergeCell ref="G34:H34"/>
    <mergeCell ref="G11:M11"/>
    <mergeCell ref="A11:F11"/>
    <mergeCell ref="O11:T11"/>
    <mergeCell ref="M23:O23"/>
    <mergeCell ref="R19:AA19"/>
    <mergeCell ref="A23:L23"/>
    <mergeCell ref="A19:F19"/>
  </mergeCells>
  <conditionalFormatting sqref="A41">
    <cfRule type="cellIs" dxfId="779" priority="21" stopIfTrue="1" operator="greaterThan">
      <formula>$C$41</formula>
    </cfRule>
  </conditionalFormatting>
  <conditionalFormatting sqref="C41">
    <cfRule type="cellIs" dxfId="778" priority="11" stopIfTrue="1" operator="greaterThan">
      <formula>$A$41</formula>
    </cfRule>
    <cfRule type="cellIs" dxfId="777" priority="12" stopIfTrue="1" operator="greaterThan">
      <formula>$A$41</formula>
    </cfRule>
  </conditionalFormatting>
  <conditionalFormatting sqref="D41">
    <cfRule type="cellIs" dxfId="776" priority="20" stopIfTrue="1" operator="greaterThan">
      <formula>$F$41</formula>
    </cfRule>
  </conditionalFormatting>
  <conditionalFormatting sqref="F41">
    <cfRule type="cellIs" dxfId="775" priority="10" stopIfTrue="1" operator="greaterThan">
      <formula>$D$41</formula>
    </cfRule>
  </conditionalFormatting>
  <conditionalFormatting sqref="G41">
    <cfRule type="cellIs" dxfId="774" priority="19" stopIfTrue="1" operator="greaterThan">
      <formula>$I$41</formula>
    </cfRule>
  </conditionalFormatting>
  <conditionalFormatting sqref="I41">
    <cfRule type="cellIs" dxfId="773" priority="9" stopIfTrue="1" operator="greaterThan">
      <formula>$G$41</formula>
    </cfRule>
  </conditionalFormatting>
  <conditionalFormatting sqref="J41">
    <cfRule type="cellIs" dxfId="772" priority="18" stopIfTrue="1" operator="greaterThan">
      <formula>$L$41</formula>
    </cfRule>
  </conditionalFormatting>
  <conditionalFormatting sqref="L41">
    <cfRule type="cellIs" dxfId="771" priority="8" stopIfTrue="1" operator="greaterThan">
      <formula>$J$41</formula>
    </cfRule>
  </conditionalFormatting>
  <conditionalFormatting sqref="M41">
    <cfRule type="cellIs" dxfId="770" priority="17" stopIfTrue="1" operator="greaterThan">
      <formula>$O$41</formula>
    </cfRule>
  </conditionalFormatting>
  <conditionalFormatting sqref="O41">
    <cfRule type="cellIs" dxfId="769" priority="7" stopIfTrue="1" operator="greaterThan">
      <formula>$M$41</formula>
    </cfRule>
  </conditionalFormatting>
  <conditionalFormatting sqref="P41">
    <cfRule type="cellIs" dxfId="768" priority="16" stopIfTrue="1" operator="greaterThan">
      <formula>$R$41</formula>
    </cfRule>
  </conditionalFormatting>
  <conditionalFormatting sqref="R41">
    <cfRule type="cellIs" dxfId="767" priority="6" stopIfTrue="1" operator="greaterThan">
      <formula>$P$41</formula>
    </cfRule>
  </conditionalFormatting>
  <conditionalFormatting sqref="S41">
    <cfRule type="cellIs" dxfId="766" priority="15" stopIfTrue="1" operator="greaterThan">
      <formula>$U$41</formula>
    </cfRule>
  </conditionalFormatting>
  <conditionalFormatting sqref="U41">
    <cfRule type="cellIs" dxfId="765" priority="1" stopIfTrue="1" operator="greaterThan">
      <formula>$S$41</formula>
    </cfRule>
    <cfRule type="cellIs" dxfId="764" priority="5" stopIfTrue="1" operator="greaterThan">
      <formula>$U$41</formula>
    </cfRule>
  </conditionalFormatting>
  <conditionalFormatting sqref="V41">
    <cfRule type="cellIs" dxfId="763" priority="14" stopIfTrue="1" operator="greaterThan">
      <formula>$X$41</formula>
    </cfRule>
  </conditionalFormatting>
  <conditionalFormatting sqref="X41">
    <cfRule type="cellIs" dxfId="762" priority="4" stopIfTrue="1" operator="greaterThan">
      <formula>$V$41</formula>
    </cfRule>
  </conditionalFormatting>
  <conditionalFormatting sqref="Y41">
    <cfRule type="cellIs" dxfId="761" priority="13" stopIfTrue="1" operator="greaterThan">
      <formula>$AA$41</formula>
    </cfRule>
  </conditionalFormatting>
  <conditionalFormatting sqref="AA41">
    <cfRule type="cellIs" dxfId="760" priority="2" stopIfTrue="1" operator="greaterThan">
      <formula>$Y$41</formula>
    </cfRule>
  </conditionalFormatting>
  <hyperlinks>
    <hyperlink ref="R45" r:id="rId1" display="pabst@swissfaustball.ch" xr:uid="{00000000-0004-0000-09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9F1B-E135-4AF7-BDD1-E8D14969BC9F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tr">
        <f>Eigaben!B6</f>
        <v>A</v>
      </c>
      <c r="Z5" s="1182"/>
      <c r="AA5" s="1193"/>
      <c r="AC5" s="156"/>
      <c r="AD5" s="265"/>
      <c r="AE5" s="172"/>
    </row>
    <row r="6" spans="1:33" ht="9" customHeight="1" thickBot="1">
      <c r="A6" s="363">
        <f>Eigaben!F6</f>
        <v>45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Eigaben!G6</f>
        <v>46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Töss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SUS Widnau   ( 2. Liga F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Benjamin Boldo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Marco Nüesch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Metzggasse 6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8400 Winterthur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076 320 86 65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079 404 47 21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b.boldo@bluewin.ch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marco.nueesch@faustball-widnau.ch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 t="str">
        <f>Eigaben!C6</f>
        <v>A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IF(Eigaben!C6=0," ",VLOOKUP(C13,Eigaben!$C$6:$V$22,13,0))</f>
        <v>45782</v>
      </c>
      <c r="B15" s="1199"/>
      <c r="C15" s="1199"/>
      <c r="D15" s="1199"/>
      <c r="E15" s="1199"/>
      <c r="F15" s="1199"/>
      <c r="G15" s="1194">
        <f>IF(Eigaben!C6=0," ",VLOOKUP(C13,Eigaben!$C$6:$V$22,14,0))</f>
        <v>0.8125</v>
      </c>
      <c r="H15" s="1194"/>
      <c r="I15" s="1194"/>
      <c r="J15" s="1194"/>
      <c r="K15" s="1194"/>
      <c r="L15" s="1195" t="str">
        <f>IF(Eigaben!C6=0,"",VLOOKUP(C13,Eigaben!$C$6:$V$22,15,0))</f>
        <v>Winterthur</v>
      </c>
      <c r="M15" s="1196"/>
      <c r="N15" s="1196"/>
      <c r="O15" s="1196"/>
      <c r="P15" s="1196"/>
      <c r="Q15" s="1196"/>
      <c r="R15" s="1196"/>
      <c r="S15" s="1197"/>
      <c r="T15" s="1183" t="str">
        <f>IF(Eigaben!C6=0,"",VLOOKUP(C13,Eigaben!C6:V22,16,0))</f>
        <v>Schulhaus Tössfeld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Eigaben!T6</f>
        <v>76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134" t="str">
        <f>IF(C16=0,"",VLOOKUP(C16,Schiri_25!A2:L181,3,1)&amp;" "&amp;VLOOKUP(C16,Schiri_25!A2:L181,2,1))</f>
        <v>Manuel Werder</v>
      </c>
      <c r="B19" s="1135"/>
      <c r="C19" s="1135"/>
      <c r="D19" s="1135"/>
      <c r="E19" s="1135"/>
      <c r="F19" s="1136"/>
      <c r="G19" s="860" t="str">
        <f>IF(C16=0,"",VLOOKUP(C16,Schiri_25!A2:L181,9,1))</f>
        <v>+41 79 823 98 71</v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130" t="str">
        <f>IF(C16=0,"",VLOOKUP(C16,Schiri_25!A2:L181,12,1))</f>
        <v>schmaerae@bluewin.ch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</f>
        <v>5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1054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759" priority="20" stopIfTrue="1" operator="greaterThan">
      <formula>$C$41</formula>
    </cfRule>
  </conditionalFormatting>
  <conditionalFormatting sqref="C41">
    <cfRule type="cellIs" dxfId="758" priority="10" stopIfTrue="1" operator="greaterThan">
      <formula>$A$41</formula>
    </cfRule>
    <cfRule type="cellIs" dxfId="757" priority="11" stopIfTrue="1" operator="greaterThan">
      <formula>$A$41</formula>
    </cfRule>
  </conditionalFormatting>
  <conditionalFormatting sqref="D41">
    <cfRule type="cellIs" dxfId="756" priority="19" stopIfTrue="1" operator="greaterThan">
      <formula>$F$41</formula>
    </cfRule>
  </conditionalFormatting>
  <conditionalFormatting sqref="F41">
    <cfRule type="cellIs" dxfId="755" priority="9" stopIfTrue="1" operator="greaterThan">
      <formula>$D$41</formula>
    </cfRule>
  </conditionalFormatting>
  <conditionalFormatting sqref="G41">
    <cfRule type="cellIs" dxfId="754" priority="18" stopIfTrue="1" operator="greaterThan">
      <formula>$I$41</formula>
    </cfRule>
  </conditionalFormatting>
  <conditionalFormatting sqref="I41">
    <cfRule type="cellIs" dxfId="753" priority="8" stopIfTrue="1" operator="greaterThan">
      <formula>$G$41</formula>
    </cfRule>
  </conditionalFormatting>
  <conditionalFormatting sqref="J41">
    <cfRule type="cellIs" dxfId="752" priority="17" stopIfTrue="1" operator="greaterThan">
      <formula>$L$41</formula>
    </cfRule>
  </conditionalFormatting>
  <conditionalFormatting sqref="L41">
    <cfRule type="cellIs" dxfId="751" priority="7" stopIfTrue="1" operator="greaterThan">
      <formula>$J$41</formula>
    </cfRule>
  </conditionalFormatting>
  <conditionalFormatting sqref="M41">
    <cfRule type="cellIs" dxfId="750" priority="16" stopIfTrue="1" operator="greaterThan">
      <formula>$O$41</formula>
    </cfRule>
  </conditionalFormatting>
  <conditionalFormatting sqref="O41">
    <cfRule type="cellIs" dxfId="749" priority="6" stopIfTrue="1" operator="greaterThan">
      <formula>$M$41</formula>
    </cfRule>
  </conditionalFormatting>
  <conditionalFormatting sqref="P41">
    <cfRule type="cellIs" dxfId="748" priority="15" stopIfTrue="1" operator="greaterThan">
      <formula>$R$41</formula>
    </cfRule>
  </conditionalFormatting>
  <conditionalFormatting sqref="R41">
    <cfRule type="cellIs" dxfId="747" priority="5" stopIfTrue="1" operator="greaterThan">
      <formula>$P$41</formula>
    </cfRule>
  </conditionalFormatting>
  <conditionalFormatting sqref="S41">
    <cfRule type="cellIs" dxfId="746" priority="14" stopIfTrue="1" operator="greaterThan">
      <formula>$U$41</formula>
    </cfRule>
  </conditionalFormatting>
  <conditionalFormatting sqref="U41">
    <cfRule type="cellIs" dxfId="745" priority="1" stopIfTrue="1" operator="greaterThan">
      <formula>$S$41</formula>
    </cfRule>
    <cfRule type="cellIs" dxfId="744" priority="4" stopIfTrue="1" operator="greaterThan">
      <formula>$U$41</formula>
    </cfRule>
  </conditionalFormatting>
  <conditionalFormatting sqref="V41">
    <cfRule type="cellIs" dxfId="743" priority="13" stopIfTrue="1" operator="greaterThan">
      <formula>$X$41</formula>
    </cfRule>
  </conditionalFormatting>
  <conditionalFormatting sqref="X41">
    <cfRule type="cellIs" dxfId="742" priority="3" stopIfTrue="1" operator="greaterThan">
      <formula>$V$41</formula>
    </cfRule>
  </conditionalFormatting>
  <conditionalFormatting sqref="Y41">
    <cfRule type="cellIs" dxfId="741" priority="12" stopIfTrue="1" operator="greaterThan">
      <formula>$AA$41</formula>
    </cfRule>
  </conditionalFormatting>
  <conditionalFormatting sqref="AA41">
    <cfRule type="cellIs" dxfId="740" priority="2" stopIfTrue="1" operator="greaterThan">
      <formula>$Y$41</formula>
    </cfRule>
  </conditionalFormatting>
  <hyperlinks>
    <hyperlink ref="R45" r:id="rId1" display="pabst@swissfaustball.ch" xr:uid="{3089585C-0E57-4EBE-BA05-ED304AA8C64B}"/>
  </hyperlinks>
  <pageMargins left="0.7" right="0.7" top="0.78740157499999996" bottom="0.78740157499999996" header="0.3" footer="0.3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A'!A5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A'!A15</f>
        <v>45782</v>
      </c>
      <c r="F6" s="1343"/>
      <c r="G6" s="1343"/>
      <c r="H6" s="1343"/>
      <c r="I6" s="1343"/>
      <c r="J6" s="1320" t="s">
        <v>324</v>
      </c>
      <c r="K6" s="1320"/>
      <c r="L6" s="1321">
        <f>'Aufgebot A'!G15</f>
        <v>0.8125</v>
      </c>
      <c r="M6" s="1321"/>
      <c r="N6" s="1321"/>
      <c r="O6" s="1320" t="s">
        <v>323</v>
      </c>
      <c r="P6" s="1320"/>
      <c r="Q6" s="1320"/>
      <c r="R6" s="1320"/>
      <c r="S6" s="1320" t="str">
        <f>'Aufgebot A'!L15</f>
        <v>Winterthur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Eigaben!B6</f>
        <v>A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str">
        <f>'Aufgebot A'!A8</f>
        <v>STV Töss ( 2. Liga )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str">
        <f>'Aufgebot A'!O8</f>
        <v>SUS Widnau   ( 2. Liga F )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A'!A19&amp;" "&amp;'Aufgebot A'!G19</f>
        <v>Manuel Werder +41 79 823 98 71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A'!A9</f>
        <v>Benjamin Boldo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A'!$G$34&gt;0,1,"")</f>
        <v/>
      </c>
      <c r="H30" s="249" t="str">
        <f>IF('Aufgebot A'!$G$34&gt;0,2,"")</f>
        <v/>
      </c>
      <c r="I30" s="249" t="str">
        <f>IF('Aufgebot A'!$G$34=3,3,"")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A'!$G$34&gt;0,1,"")</f>
        <v/>
      </c>
      <c r="H32" s="249" t="str">
        <f>IF('Aufgebot A'!$G$34&gt;0,2,"")</f>
        <v/>
      </c>
      <c r="I32" s="249" t="str">
        <f>IF('Aufgebot A'!$G$34=3,3,"")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A'!$G$34&gt;0,1,"")</f>
        <v/>
      </c>
      <c r="H34" s="249" t="str">
        <f>IF('Aufgebot A'!$G$34&gt;0,2,"")</f>
        <v/>
      </c>
      <c r="I34" s="249" t="str">
        <f>IF('Aufgebot A'!$G$34=3,3,"")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A'!$G$34&gt;0,1,"")</f>
        <v/>
      </c>
      <c r="H36" s="249" t="str">
        <f>IF('Aufgebot A'!$G$34&gt;0,2,"")</f>
        <v/>
      </c>
      <c r="I36" s="249" t="str">
        <f>IF('Aufgebot A'!$G$34=3,3,"")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A'!$G$34&gt;0,1,"")</f>
        <v/>
      </c>
      <c r="H39" s="249" t="str">
        <f>IF('Aufgebot A'!$G$34&gt;0,2,"")</f>
        <v/>
      </c>
      <c r="I39" s="249" t="str">
        <f>IF('Aufgebot A'!$G$34=3,3,"")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A'!$G$34&gt;0,1,"")</f>
        <v/>
      </c>
      <c r="H41" s="249" t="str">
        <f>IF('Aufgebot A'!$G$34&gt;0,2,"")</f>
        <v/>
      </c>
      <c r="I41" s="249" t="str">
        <f>IF('Aufgebot A'!$G$34=3,3,"")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A'!$G$34&gt;0,1,"")</f>
        <v/>
      </c>
      <c r="H43" s="249" t="str">
        <f>IF('Aufgebot A'!$G$34&gt;0,2,"")</f>
        <v/>
      </c>
      <c r="I43" s="249" t="str">
        <f>IF('Aufgebot A'!$G$34=3,3,"")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A'!$G$34&gt;0,1,"")</f>
        <v/>
      </c>
      <c r="H45" s="249" t="str">
        <f>IF('Aufgebot A'!$G$34&gt;0,2,"")</f>
        <v/>
      </c>
      <c r="I45" s="249" t="str">
        <f>IF('Aufgebot A'!$G$34=3,3,"")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A'!$G$34&gt;0,1,"")</f>
        <v/>
      </c>
      <c r="H48" s="249" t="str">
        <f>IF('Aufgebot A'!$G$34&gt;0,2,"")</f>
        <v/>
      </c>
      <c r="I48" s="249" t="str">
        <f>IF('Aufgebot A'!$G$34=3,3,"")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90">
    <mergeCell ref="F19:Q19"/>
    <mergeCell ref="S8:X8"/>
    <mergeCell ref="Y8:AI8"/>
    <mergeCell ref="X9:AI9"/>
    <mergeCell ref="F10:Q10"/>
    <mergeCell ref="F11:Q11"/>
    <mergeCell ref="X10:AI10"/>
    <mergeCell ref="X11:AI11"/>
    <mergeCell ref="F12:Q12"/>
    <mergeCell ref="F13:Q13"/>
    <mergeCell ref="F14:Q14"/>
    <mergeCell ref="F15:Q15"/>
    <mergeCell ref="F16:Q16"/>
    <mergeCell ref="X14:AI14"/>
    <mergeCell ref="X15:AI15"/>
    <mergeCell ref="X16:AI16"/>
    <mergeCell ref="X17:AI17"/>
    <mergeCell ref="X18:AI18"/>
    <mergeCell ref="G1:AJ2"/>
    <mergeCell ref="E6:I6"/>
    <mergeCell ref="AJ8:AJ9"/>
    <mergeCell ref="R8:R9"/>
    <mergeCell ref="AD6:AG6"/>
    <mergeCell ref="AH6:AJ6"/>
    <mergeCell ref="S6:AC6"/>
    <mergeCell ref="O6:R6"/>
    <mergeCell ref="F9:Q9"/>
    <mergeCell ref="G4:AC4"/>
    <mergeCell ref="AD4:AJ4"/>
    <mergeCell ref="C48:C49"/>
    <mergeCell ref="D48:E49"/>
    <mergeCell ref="AE51:AG51"/>
    <mergeCell ref="O51:Q51"/>
    <mergeCell ref="J6:K6"/>
    <mergeCell ref="L6:N6"/>
    <mergeCell ref="A8:F8"/>
    <mergeCell ref="G8:Q8"/>
    <mergeCell ref="A6:D6"/>
    <mergeCell ref="S21:W21"/>
    <mergeCell ref="S20:W20"/>
    <mergeCell ref="X19:AI19"/>
    <mergeCell ref="F17:Q17"/>
    <mergeCell ref="F18:Q18"/>
    <mergeCell ref="X12:AI12"/>
    <mergeCell ref="X13:AI13"/>
    <mergeCell ref="Y51:AA51"/>
    <mergeCell ref="AB51:AD51"/>
    <mergeCell ref="A51:E52"/>
    <mergeCell ref="I51:K51"/>
    <mergeCell ref="L51:N51"/>
    <mergeCell ref="D43:E44"/>
    <mergeCell ref="C45:C46"/>
    <mergeCell ref="C36:C37"/>
    <mergeCell ref="C43:C44"/>
    <mergeCell ref="C39:C40"/>
    <mergeCell ref="D39:E40"/>
    <mergeCell ref="C41:C42"/>
    <mergeCell ref="D45:E46"/>
    <mergeCell ref="D41:E42"/>
    <mergeCell ref="AB23:AJ23"/>
    <mergeCell ref="D36:E37"/>
    <mergeCell ref="D30:E31"/>
    <mergeCell ref="D32:E33"/>
    <mergeCell ref="A26:F26"/>
    <mergeCell ref="C30:C31"/>
    <mergeCell ref="N26:P26"/>
    <mergeCell ref="C32:C33"/>
    <mergeCell ref="S24:X24"/>
    <mergeCell ref="G24:R24"/>
    <mergeCell ref="Y24:AJ24"/>
    <mergeCell ref="A23:E23"/>
    <mergeCell ref="F23:R23"/>
    <mergeCell ref="C34:C35"/>
    <mergeCell ref="D34:E35"/>
    <mergeCell ref="AE60:AJ62"/>
    <mergeCell ref="Y60:AD62"/>
    <mergeCell ref="A60:X62"/>
    <mergeCell ref="AH51:AJ52"/>
    <mergeCell ref="Z54:AD54"/>
    <mergeCell ref="A58:Q58"/>
    <mergeCell ref="R57:AJ57"/>
    <mergeCell ref="R58:AJ58"/>
    <mergeCell ref="A53:E54"/>
    <mergeCell ref="AE53:AJ53"/>
    <mergeCell ref="AE54:AJ54"/>
    <mergeCell ref="Z53:AD53"/>
    <mergeCell ref="A56:AJ56"/>
    <mergeCell ref="A57:Q57"/>
    <mergeCell ref="R51:U51"/>
    <mergeCell ref="V51:X51"/>
  </mergeCells>
  <phoneticPr fontId="52" type="noConversion"/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ED80-2C54-4AB7-A344-E6235128E286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tr">
        <f>Eigaben!B7</f>
        <v>B</v>
      </c>
      <c r="Z5" s="1182"/>
      <c r="AA5" s="1193"/>
      <c r="AC5" s="156"/>
      <c r="AD5" s="265"/>
      <c r="AE5" s="172"/>
    </row>
    <row r="6" spans="1:33" ht="9" customHeight="1" thickBot="1">
      <c r="A6" s="363">
        <f>Eigaben!F7</f>
        <v>40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Eigaben!G7</f>
        <v>43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Elgg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Müllheim ( 2. L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Oliver Lang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Raphael Gubser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079 672 93 60</v>
      </c>
      <c r="H11" s="1112"/>
      <c r="I11" s="1112"/>
      <c r="J11" s="1112"/>
      <c r="K11" s="1112"/>
      <c r="L11" s="1112"/>
      <c r="M11" s="1126"/>
      <c r="N11" s="22"/>
      <c r="O11" s="1128" t="str">
        <f>IF(Eigaben!$AF$59=0,"",VLOOKUP($O$6,Eigaben!$Y$17:$AH$103,8,1))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IF(Eigaben!$AF$54=0,"",VLOOKUP($O$6,Eigaben!$Y$17:$AH$103,9,1))</f>
        <v>079 519 86 51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lang@swissfaustball.ch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raffigubser@bluewin.ch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 t="str">
        <f>Eigaben!C7</f>
        <v>B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IF(Eigaben!C6=0," ",VLOOKUP(C13,Eigaben!$C$6:$V$22,13,0))</f>
        <v>45778</v>
      </c>
      <c r="B15" s="1199"/>
      <c r="C15" s="1199"/>
      <c r="D15" s="1199"/>
      <c r="E15" s="1199"/>
      <c r="F15" s="1199"/>
      <c r="G15" s="1194">
        <f>IF(Eigaben!C6=0," ",VLOOKUP(C13,Eigaben!$C$6:$V$22,14,0))</f>
        <v>0.8125</v>
      </c>
      <c r="H15" s="1194"/>
      <c r="I15" s="1194"/>
      <c r="J15" s="1194"/>
      <c r="K15" s="1194"/>
      <c r="L15" s="1195" t="str">
        <f>IF(Eigaben!C6=0,"",VLOOKUP(C13,Eigaben!$C$6:$V$22,15,0))</f>
        <v>Elgg</v>
      </c>
      <c r="M15" s="1196"/>
      <c r="N15" s="1196"/>
      <c r="O15" s="1196"/>
      <c r="P15" s="1196"/>
      <c r="Q15" s="1196"/>
      <c r="R15" s="1196"/>
      <c r="S15" s="1197"/>
      <c r="T15" s="1183" t="str">
        <f>IF(Eigaben!C6=0,"",VLOOKUP(C13,Eigaben!C6:V22,16,0))</f>
        <v>Elgg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Eigaben!T7</f>
        <v>79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361" t="str">
        <f>IF(C16=0,"",VLOOKUP(C16,Schiri_25!A2:L181,3,1)&amp;" "&amp;VLOOKUP(C16,Schiri_25!A2:L181,2,1))</f>
        <v>Daniel Ziereisen</v>
      </c>
      <c r="B19" s="1362"/>
      <c r="C19" s="1362"/>
      <c r="D19" s="1362"/>
      <c r="E19" s="1362"/>
      <c r="F19" s="1363"/>
      <c r="G19" s="860" t="str">
        <f>IF(C16=0,"",VLOOKUP(C16,Schiri_25!A2:L181,9,1))</f>
        <v>+41 79 672 26 12</v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>+41 52 364 23 90</v>
      </c>
      <c r="N19" s="1112"/>
      <c r="O19" s="1112"/>
      <c r="P19" s="1112"/>
      <c r="Q19" s="861"/>
      <c r="R19" s="1364" t="str">
        <f>IF(C16=0,"",VLOOKUP(C16,Schiri_25!A2:L181,12,1))</f>
        <v>daniel.ziereisen@hcs-controls.ch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</f>
        <v>5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739" priority="20" stopIfTrue="1" operator="greaterThan">
      <formula>$C$41</formula>
    </cfRule>
  </conditionalFormatting>
  <conditionalFormatting sqref="C41">
    <cfRule type="cellIs" dxfId="738" priority="10" stopIfTrue="1" operator="greaterThan">
      <formula>$A$41</formula>
    </cfRule>
    <cfRule type="cellIs" dxfId="737" priority="11" stopIfTrue="1" operator="greaterThan">
      <formula>$A$41</formula>
    </cfRule>
  </conditionalFormatting>
  <conditionalFormatting sqref="D41">
    <cfRule type="cellIs" dxfId="736" priority="19" stopIfTrue="1" operator="greaterThan">
      <formula>$F$41</formula>
    </cfRule>
  </conditionalFormatting>
  <conditionalFormatting sqref="F41">
    <cfRule type="cellIs" dxfId="735" priority="9" stopIfTrue="1" operator="greaterThan">
      <formula>$D$41</formula>
    </cfRule>
  </conditionalFormatting>
  <conditionalFormatting sqref="G41">
    <cfRule type="cellIs" dxfId="734" priority="18" stopIfTrue="1" operator="greaterThan">
      <formula>$I$41</formula>
    </cfRule>
  </conditionalFormatting>
  <conditionalFormatting sqref="I41">
    <cfRule type="cellIs" dxfId="733" priority="8" stopIfTrue="1" operator="greaterThan">
      <formula>$G$41</formula>
    </cfRule>
  </conditionalFormatting>
  <conditionalFormatting sqref="J41">
    <cfRule type="cellIs" dxfId="732" priority="17" stopIfTrue="1" operator="greaterThan">
      <formula>$L$41</formula>
    </cfRule>
  </conditionalFormatting>
  <conditionalFormatting sqref="L41">
    <cfRule type="cellIs" dxfId="731" priority="7" stopIfTrue="1" operator="greaterThan">
      <formula>$J$41</formula>
    </cfRule>
  </conditionalFormatting>
  <conditionalFormatting sqref="M41">
    <cfRule type="cellIs" dxfId="730" priority="16" stopIfTrue="1" operator="greaterThan">
      <formula>$O$41</formula>
    </cfRule>
  </conditionalFormatting>
  <conditionalFormatting sqref="O41">
    <cfRule type="cellIs" dxfId="729" priority="6" stopIfTrue="1" operator="greaterThan">
      <formula>$M$41</formula>
    </cfRule>
  </conditionalFormatting>
  <conditionalFormatting sqref="P41">
    <cfRule type="cellIs" dxfId="728" priority="15" stopIfTrue="1" operator="greaterThan">
      <formula>$R$41</formula>
    </cfRule>
  </conditionalFormatting>
  <conditionalFormatting sqref="R41">
    <cfRule type="cellIs" dxfId="727" priority="5" stopIfTrue="1" operator="greaterThan">
      <formula>$P$41</formula>
    </cfRule>
  </conditionalFormatting>
  <conditionalFormatting sqref="S41">
    <cfRule type="cellIs" dxfId="726" priority="14" stopIfTrue="1" operator="greaterThan">
      <formula>$U$41</formula>
    </cfRule>
  </conditionalFormatting>
  <conditionalFormatting sqref="U41">
    <cfRule type="cellIs" dxfId="725" priority="1" stopIfTrue="1" operator="greaterThan">
      <formula>$S$41</formula>
    </cfRule>
    <cfRule type="cellIs" dxfId="724" priority="4" stopIfTrue="1" operator="greaterThan">
      <formula>$U$41</formula>
    </cfRule>
  </conditionalFormatting>
  <conditionalFormatting sqref="V41">
    <cfRule type="cellIs" dxfId="723" priority="13" stopIfTrue="1" operator="greaterThan">
      <formula>$X$41</formula>
    </cfRule>
  </conditionalFormatting>
  <conditionalFormatting sqref="X41">
    <cfRule type="cellIs" dxfId="722" priority="3" stopIfTrue="1" operator="greaterThan">
      <formula>$V$41</formula>
    </cfRule>
  </conditionalFormatting>
  <conditionalFormatting sqref="Y41">
    <cfRule type="cellIs" dxfId="721" priority="12" stopIfTrue="1" operator="greaterThan">
      <formula>$AA$41</formula>
    </cfRule>
  </conditionalFormatting>
  <conditionalFormatting sqref="AA41">
    <cfRule type="cellIs" dxfId="720" priority="2" stopIfTrue="1" operator="greaterThan">
      <formula>$Y$41</formula>
    </cfRule>
  </conditionalFormatting>
  <hyperlinks>
    <hyperlink ref="R45" r:id="rId1" display="pabst@swissfaustball.ch" xr:uid="{96A326F2-9DA9-4FB6-81E7-14194E7A7F2D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B5A6-EBF5-45DC-BA71-6F7F243B277C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B'!E1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B'!A5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B'!A15</f>
        <v>45778</v>
      </c>
      <c r="F6" s="1343"/>
      <c r="G6" s="1343"/>
      <c r="H6" s="1343"/>
      <c r="I6" s="1343"/>
      <c r="J6" s="1320" t="s">
        <v>324</v>
      </c>
      <c r="K6" s="1320"/>
      <c r="L6" s="1321">
        <f>'Aufgebot B'!G15</f>
        <v>0.8125</v>
      </c>
      <c r="M6" s="1321"/>
      <c r="N6" s="1321"/>
      <c r="O6" s="1320" t="s">
        <v>323</v>
      </c>
      <c r="P6" s="1320"/>
      <c r="Q6" s="1320"/>
      <c r="R6" s="1320"/>
      <c r="S6" s="1320" t="str">
        <f>'Aufgebot B'!L15</f>
        <v>Elgg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'Aufgebot B'!Y5</f>
        <v>B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str">
        <f>'Aufgebot B'!A8</f>
        <v>STV Elgg ( 2. Liga )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str">
        <f>'Aufgebot B'!O8</f>
        <v>STV Müllheim ( 2. L )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B'!A19&amp;" "&amp;'Aufgebot B'!G19</f>
        <v>Daniel Ziereisen +41 79 672 26 12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B'!A9</f>
        <v>Oliver Lang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B'!$G$34&gt;0,1,"")</f>
        <v/>
      </c>
      <c r="H30" s="249" t="str">
        <f>IF('Aufgebot B'!$G$34&gt;0,2,"")</f>
        <v/>
      </c>
      <c r="I30" s="249" t="str">
        <f>IF('Aufgebot B'!$G$34=3,3,"")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B'!$G$34&gt;0,1,"")</f>
        <v/>
      </c>
      <c r="H32" s="249" t="str">
        <f>IF('Aufgebot B'!$G$34&gt;0,2,"")</f>
        <v/>
      </c>
      <c r="I32" s="249" t="str">
        <f>IF('Aufgebot B'!$G$34=3,3,"")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B'!$G$34&gt;0,1,"")</f>
        <v/>
      </c>
      <c r="H34" s="249" t="str">
        <f>IF('Aufgebot B'!$G$34&gt;0,2,"")</f>
        <v/>
      </c>
      <c r="I34" s="249" t="str">
        <f>IF('Aufgebot B'!$G$34=3,3,"")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B'!$G$34&gt;0,1,"")</f>
        <v/>
      </c>
      <c r="H36" s="249" t="str">
        <f>IF('Aufgebot B'!$G$34&gt;0,2,"")</f>
        <v/>
      </c>
      <c r="I36" s="249" t="str">
        <f>IF('Aufgebot B'!$G$34=3,3,"")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B'!$G$34&gt;0,1,"")</f>
        <v/>
      </c>
      <c r="H39" s="249" t="str">
        <f>IF('Aufgebot B'!$G$34&gt;0,2,"")</f>
        <v/>
      </c>
      <c r="I39" s="249" t="str">
        <f>IF('Aufgebot B'!$G$34=3,3,"")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B'!$G$34&gt;0,1,"")</f>
        <v/>
      </c>
      <c r="H41" s="249" t="str">
        <f>IF('Aufgebot B'!$G$34&gt;0,2,"")</f>
        <v/>
      </c>
      <c r="I41" s="249" t="str">
        <f>IF('Aufgebot B'!$G$34=3,3,"")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B'!$G$34&gt;0,1,"")</f>
        <v/>
      </c>
      <c r="H43" s="249" t="str">
        <f>IF('Aufgebot B'!$G$34&gt;0,2,"")</f>
        <v/>
      </c>
      <c r="I43" s="249" t="str">
        <f>IF('Aufgebot B'!$G$34=3,3,"")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B'!$G$34&gt;0,1,"")</f>
        <v/>
      </c>
      <c r="H45" s="249" t="str">
        <f>IF('Aufgebot B'!$G$34&gt;0,2,"")</f>
        <v/>
      </c>
      <c r="I45" s="249" t="str">
        <f>IF('Aufgebot B'!$G$34=3,3,"")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B'!$G$34&gt;0,1,"")</f>
        <v/>
      </c>
      <c r="H48" s="249" t="str">
        <f>IF('Aufgebot B'!$G$34&gt;0,2,"")</f>
        <v/>
      </c>
      <c r="I48" s="249" t="str">
        <f>IF('Aufgebot B'!$G$34=3,3,"")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90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26:F26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23:E23"/>
    <mergeCell ref="F23:R23"/>
    <mergeCell ref="AB23:AJ23"/>
    <mergeCell ref="G24:R24"/>
    <mergeCell ref="S24:X24"/>
    <mergeCell ref="Y24:AJ24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AB1F-BD76-4CDD-BFBE-855F107F3082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tr">
        <f>Eigaben!B8</f>
        <v>C</v>
      </c>
      <c r="Z5" s="1182"/>
      <c r="AA5" s="1193"/>
      <c r="AC5" s="156"/>
      <c r="AD5" s="265"/>
      <c r="AE5" s="172"/>
    </row>
    <row r="6" spans="1:33" ht="9" customHeight="1" thickBot="1">
      <c r="A6" s="363">
        <f>Eigaben!F8</f>
        <v>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Eigaben!G8</f>
        <v>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e">
        <f>(VLOOKUP($A$6,Eigaben!$Y$17:$Z$103,2,0))</f>
        <v>#N/A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e">
        <f>(VLOOKUP($O$6,Eigaben!$Y$17:$Z$103,2,0))</f>
        <v>#N/A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e">
        <f>VLOOKUP($A$6,Eigaben!$Y$17:$AH$103,3,1)&amp;" "&amp;VLOOKUP(A6,Eigaben!Y17:AH103,4,1)</f>
        <v>#N/A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e">
        <f>VLOOKUP($O$6,Eigaben!$Y$17:$AH$103,3,1)&amp;" "&amp;VLOOKUP($O$6,Eigaben!$Y$17:$AH$103,4,1)</f>
        <v>#N/A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e">
        <f>VLOOKUP($A$6,Eigaben!$Y$17:$AH$103,5,1)</f>
        <v>#N/A</v>
      </c>
      <c r="B10" s="1187"/>
      <c r="C10" s="1187"/>
      <c r="D10" s="1187"/>
      <c r="E10" s="1187"/>
      <c r="F10" s="1187"/>
      <c r="G10" s="1111" t="e">
        <f>VLOOKUP($A$6,Eigaben!$Y$17:$AH$103,6,1)&amp;" "&amp;VLOOKUP(A6,Eigaben!$Y$17:$AH$103,7,1)</f>
        <v>#N/A</v>
      </c>
      <c r="H10" s="1112"/>
      <c r="I10" s="1112"/>
      <c r="J10" s="1112"/>
      <c r="K10" s="1112"/>
      <c r="L10" s="1112"/>
      <c r="M10" s="1113"/>
      <c r="N10" s="22"/>
      <c r="O10" s="1229" t="e">
        <f>VLOOKUP($O$6,Eigaben!$Y$17:$AH$103,5,1)</f>
        <v>#N/A</v>
      </c>
      <c r="P10" s="1187"/>
      <c r="Q10" s="1187"/>
      <c r="R10" s="1187"/>
      <c r="S10" s="1187"/>
      <c r="T10" s="1187"/>
      <c r="U10" s="1187" t="e">
        <f>VLOOKUP($O$6,Eigaben!$Y$17:$AV$103,6,1)&amp;" "&amp;VLOOKUP($O$6,Eigaben!$Y$17:$AV$103,7,1)</f>
        <v>#N/A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e">
        <f>IF(Eigaben!AF54=0,"",VLOOKUP($A$6,Eigaben!$Y$17:$AH$103,8,1))</f>
        <v>#N/A</v>
      </c>
      <c r="B11" s="1112"/>
      <c r="C11" s="1112"/>
      <c r="D11" s="1112"/>
      <c r="E11" s="1112"/>
      <c r="F11" s="861"/>
      <c r="G11" s="860" t="e">
        <f>IF(Eigaben!$AG$54=0,"",VLOOKUP($A$6,Eigaben!$Y$17:$AH$103,9,1))</f>
        <v>#N/A</v>
      </c>
      <c r="H11" s="1112"/>
      <c r="I11" s="1112"/>
      <c r="J11" s="1112"/>
      <c r="K11" s="1112"/>
      <c r="L11" s="1112"/>
      <c r="M11" s="1126"/>
      <c r="N11" s="22"/>
      <c r="O11" s="1128" t="e">
        <f>IF(Eigaben!AF55=0,"",VLOOKUP($O$6,Eigaben!$Y$17:$AH$103,8,1))</f>
        <v>#N/A</v>
      </c>
      <c r="P11" s="1112"/>
      <c r="Q11" s="1112"/>
      <c r="R11" s="1112"/>
      <c r="S11" s="1112"/>
      <c r="T11" s="861"/>
      <c r="U11" s="1112" t="e">
        <f>IF(Eigaben!$P$54=0,"",VLOOKUP($O$6,Eigaben!$Y$17:$AH$103,9,1))</f>
        <v>#N/A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e">
        <f>VLOOKUP($A$6,Eigaben!$Y$17:$AH$103,10,1)</f>
        <v>#N/A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e">
        <f>VLOOKUP($O$6,Eigaben!$Y$17:$AH$103,10,1)</f>
        <v>#N/A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Eigaben!C8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e">
        <f>IF(Eigaben!C6=0," ",VLOOKUP(C13,Eigaben!$C$6:$V$22,13,0))</f>
        <v>#N/A</v>
      </c>
      <c r="B15" s="1199"/>
      <c r="C15" s="1199"/>
      <c r="D15" s="1199"/>
      <c r="E15" s="1199"/>
      <c r="F15" s="1199"/>
      <c r="G15" s="1194" t="e">
        <f>IF(Eigaben!C6=0," ",VLOOKUP(C13,Eigaben!$C$6:$V$22,14,0))</f>
        <v>#N/A</v>
      </c>
      <c r="H15" s="1194"/>
      <c r="I15" s="1194"/>
      <c r="J15" s="1194"/>
      <c r="K15" s="1194"/>
      <c r="L15" s="1195" t="e">
        <f>IF(Eigaben!C6=0,"",VLOOKUP(C13,Eigaben!$C$6:$V$22,15,0))</f>
        <v>#N/A</v>
      </c>
      <c r="M15" s="1196"/>
      <c r="N15" s="1196"/>
      <c r="O15" s="1196"/>
      <c r="P15" s="1196"/>
      <c r="Q15" s="1196"/>
      <c r="R15" s="1196"/>
      <c r="S15" s="1197"/>
      <c r="T15" s="1183" t="e">
        <f>IF(Eigaben!C6=0,"",VLOOKUP(C13,Eigaben!C6:V22,16,0))</f>
        <v>#N/A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Eigaben!T8</f>
        <v>0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134" t="str">
        <f>IF(C16=0,"",VLOOKUP(C16,Schiri_25!A2:L181,3,1)&amp;" "&amp;VLOOKUP(C16,Schiri_25!A2:L181,2,1))</f>
        <v/>
      </c>
      <c r="B19" s="1135"/>
      <c r="C19" s="1135"/>
      <c r="D19" s="1135"/>
      <c r="E19" s="1135"/>
      <c r="F19" s="1136"/>
      <c r="G19" s="860" t="str">
        <f>IF(C16=0,"",VLOOKUP(C16,Schiri_25!A2:L181,9,1))</f>
        <v/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130" t="str">
        <f>IF(C16=0,"",VLOOKUP(C16,Schiri_25!A2:L181,12,1))</f>
        <v/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Eigaben!V8</f>
        <v>0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Eigaben!S8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719" priority="20" stopIfTrue="1" operator="greaterThan">
      <formula>$C$41</formula>
    </cfRule>
  </conditionalFormatting>
  <conditionalFormatting sqref="C41">
    <cfRule type="cellIs" dxfId="718" priority="10" stopIfTrue="1" operator="greaterThan">
      <formula>$A$41</formula>
    </cfRule>
    <cfRule type="cellIs" dxfId="717" priority="11" stopIfTrue="1" operator="greaterThan">
      <formula>$A$41</formula>
    </cfRule>
  </conditionalFormatting>
  <conditionalFormatting sqref="D41">
    <cfRule type="cellIs" dxfId="716" priority="19" stopIfTrue="1" operator="greaterThan">
      <formula>$F$41</formula>
    </cfRule>
  </conditionalFormatting>
  <conditionalFormatting sqref="F41">
    <cfRule type="cellIs" dxfId="715" priority="9" stopIfTrue="1" operator="greaterThan">
      <formula>$D$41</formula>
    </cfRule>
  </conditionalFormatting>
  <conditionalFormatting sqref="G41">
    <cfRule type="cellIs" dxfId="714" priority="18" stopIfTrue="1" operator="greaterThan">
      <formula>$I$41</formula>
    </cfRule>
  </conditionalFormatting>
  <conditionalFormatting sqref="I41">
    <cfRule type="cellIs" dxfId="713" priority="8" stopIfTrue="1" operator="greaterThan">
      <formula>$G$41</formula>
    </cfRule>
  </conditionalFormatting>
  <conditionalFormatting sqref="J41">
    <cfRule type="cellIs" dxfId="712" priority="17" stopIfTrue="1" operator="greaterThan">
      <formula>$L$41</formula>
    </cfRule>
  </conditionalFormatting>
  <conditionalFormatting sqref="L41">
    <cfRule type="cellIs" dxfId="711" priority="7" stopIfTrue="1" operator="greaterThan">
      <formula>$J$41</formula>
    </cfRule>
  </conditionalFormatting>
  <conditionalFormatting sqref="M41">
    <cfRule type="cellIs" dxfId="710" priority="16" stopIfTrue="1" operator="greaterThan">
      <formula>$O$41</formula>
    </cfRule>
  </conditionalFormatting>
  <conditionalFormatting sqref="O41">
    <cfRule type="cellIs" dxfId="709" priority="6" stopIfTrue="1" operator="greaterThan">
      <formula>$M$41</formula>
    </cfRule>
  </conditionalFormatting>
  <conditionalFormatting sqref="P41">
    <cfRule type="cellIs" dxfId="708" priority="15" stopIfTrue="1" operator="greaterThan">
      <formula>$R$41</formula>
    </cfRule>
  </conditionalFormatting>
  <conditionalFormatting sqref="R41">
    <cfRule type="cellIs" dxfId="707" priority="5" stopIfTrue="1" operator="greaterThan">
      <formula>$P$41</formula>
    </cfRule>
  </conditionalFormatting>
  <conditionalFormatting sqref="S41">
    <cfRule type="cellIs" dxfId="706" priority="14" stopIfTrue="1" operator="greaterThan">
      <formula>$U$41</formula>
    </cfRule>
  </conditionalFormatting>
  <conditionalFormatting sqref="U41">
    <cfRule type="cellIs" dxfId="705" priority="1" stopIfTrue="1" operator="greaterThan">
      <formula>$S$41</formula>
    </cfRule>
    <cfRule type="cellIs" dxfId="704" priority="4" stopIfTrue="1" operator="greaterThan">
      <formula>$U$41</formula>
    </cfRule>
  </conditionalFormatting>
  <conditionalFormatting sqref="V41">
    <cfRule type="cellIs" dxfId="703" priority="13" stopIfTrue="1" operator="greaterThan">
      <formula>$X$41</formula>
    </cfRule>
  </conditionalFormatting>
  <conditionalFormatting sqref="X41">
    <cfRule type="cellIs" dxfId="702" priority="3" stopIfTrue="1" operator="greaterThan">
      <formula>$V$41</formula>
    </cfRule>
  </conditionalFormatting>
  <conditionalFormatting sqref="Y41">
    <cfRule type="cellIs" dxfId="701" priority="12" stopIfTrue="1" operator="greaterThan">
      <formula>$AA$41</formula>
    </cfRule>
  </conditionalFormatting>
  <conditionalFormatting sqref="AA41">
    <cfRule type="cellIs" dxfId="700" priority="2" stopIfTrue="1" operator="greaterThan">
      <formula>$Y$41</formula>
    </cfRule>
  </conditionalFormatting>
  <hyperlinks>
    <hyperlink ref="R45" r:id="rId1" display="pabst@swissfaustball.ch" xr:uid="{862FC9D2-BC79-48AA-B1C5-4DA75C491BD5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22D4-14E4-4472-9516-1C9FFCFA2B7D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C'!E1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C'!A5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e">
        <f>'Aufgebot C'!A15</f>
        <v>#N/A</v>
      </c>
      <c r="F6" s="1343"/>
      <c r="G6" s="1343"/>
      <c r="H6" s="1343"/>
      <c r="I6" s="1343"/>
      <c r="J6" s="1320" t="s">
        <v>324</v>
      </c>
      <c r="K6" s="1320"/>
      <c r="L6" s="1321" t="e">
        <f>'Aufgebot C'!G15</f>
        <v>#N/A</v>
      </c>
      <c r="M6" s="1321"/>
      <c r="N6" s="1321"/>
      <c r="O6" s="1320" t="s">
        <v>323</v>
      </c>
      <c r="P6" s="1320"/>
      <c r="Q6" s="1320"/>
      <c r="R6" s="1320"/>
      <c r="S6" s="1320" t="e">
        <f>'Aufgebot C'!L15</f>
        <v>#N/A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'Aufgebot C'!Y5</f>
        <v>C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e">
        <f>'Aufgebot C'!A8</f>
        <v>#N/A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e">
        <f>'Aufgebot C'!O8</f>
        <v>#N/A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C'!A19&amp;" "&amp;'Aufgebot C'!G19</f>
        <v xml:space="preserve"> 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e">
        <f>'Aufgebot C'!A9</f>
        <v>#N/A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C'!$G$34&gt;0,1,"")</f>
        <v/>
      </c>
      <c r="H30" s="249" t="str">
        <f>IF('Aufgebot C'!$G$34&gt;0,2,"")</f>
        <v/>
      </c>
      <c r="I30" s="249" t="str">
        <f>IF('Aufgebot C'!$G$34=3,3,"")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C'!$G$34&gt;0,1,"")</f>
        <v/>
      </c>
      <c r="H32" s="249" t="str">
        <f>IF('Aufgebot C'!$G$34&gt;0,2,"")</f>
        <v/>
      </c>
      <c r="I32" s="249" t="str">
        <f>IF('Aufgebot C'!$G$34=3,3,"")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C'!$G$34&gt;0,1,"")</f>
        <v/>
      </c>
      <c r="H34" s="249" t="str">
        <f>IF('Aufgebot C'!$G$34&gt;0,2,"")</f>
        <v/>
      </c>
      <c r="I34" s="249" t="str">
        <f>IF('Aufgebot C'!$G$34=3,3,"")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C'!$G$34&gt;0,1,"")</f>
        <v/>
      </c>
      <c r="H36" s="249" t="str">
        <f>IF('Aufgebot C'!$G$34&gt;0,2,"")</f>
        <v/>
      </c>
      <c r="I36" s="249" t="str">
        <f>IF('Aufgebot C'!$G$34=3,3,"")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C'!$G$34&gt;0,1,"")</f>
        <v/>
      </c>
      <c r="H39" s="249" t="str">
        <f>IF('Aufgebot C'!$G$34&gt;0,2,"")</f>
        <v/>
      </c>
      <c r="I39" s="249" t="str">
        <f>IF('Aufgebot C'!$G$34=3,3,"")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C'!$G$34&gt;0,1,"")</f>
        <v/>
      </c>
      <c r="H41" s="249" t="str">
        <f>IF('Aufgebot C'!$G$34&gt;0,2,"")</f>
        <v/>
      </c>
      <c r="I41" s="249" t="str">
        <f>IF('Aufgebot C'!$G$34=3,3,"")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C'!$G$34&gt;0,1,"")</f>
        <v/>
      </c>
      <c r="H43" s="249" t="str">
        <f>IF('Aufgebot C'!$G$34&gt;0,2,"")</f>
        <v/>
      </c>
      <c r="I43" s="249" t="str">
        <f>IF('Aufgebot C'!$G$34=3,3,"")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C'!$G$34&gt;0,1,"")</f>
        <v/>
      </c>
      <c r="H45" s="249" t="str">
        <f>IF('Aufgebot C'!$G$34&gt;0,2,"")</f>
        <v/>
      </c>
      <c r="I45" s="249" t="str">
        <f>IF('Aufgebot C'!$G$34=3,3,"")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C'!$G$34&gt;0,1,"")</f>
        <v/>
      </c>
      <c r="H48" s="249" t="str">
        <f>IF('Aufgebot C'!$G$34&gt;0,2,"")</f>
        <v/>
      </c>
      <c r="I48" s="249" t="str">
        <f>IF('Aufgebot C'!$G$34=3,3,"")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90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26:F26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23:E23"/>
    <mergeCell ref="F23:R23"/>
    <mergeCell ref="AB23:AJ23"/>
    <mergeCell ref="G24:R24"/>
    <mergeCell ref="S24:X24"/>
    <mergeCell ref="Y24:AJ24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B9CE-8E9D-46D9-8590-9B84CDD57731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tr">
        <f>Eigaben!B9</f>
        <v>D</v>
      </c>
      <c r="Z5" s="1182"/>
      <c r="AA5" s="1193"/>
      <c r="AC5" s="156"/>
      <c r="AD5" s="265"/>
      <c r="AE5" s="172"/>
    </row>
    <row r="6" spans="1:33" ht="9" customHeight="1" thickBot="1">
      <c r="A6" s="363">
        <f>Eigaben!F9</f>
        <v>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Eigaben!G9</f>
        <v>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e">
        <f>(VLOOKUP($A$6,Eigaben!$Y$17:$Z$103,2,0))</f>
        <v>#N/A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e">
        <f>(VLOOKUP($O$6,Eigaben!$Y$17:$Z$103,2,0))</f>
        <v>#N/A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e">
        <f>VLOOKUP($A$6,Eigaben!$Y$17:$AH$103,3,1)&amp;" "&amp;VLOOKUP(A6,Eigaben!Y17:AH103,4,1)</f>
        <v>#N/A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e">
        <f>VLOOKUP($O$6,Eigaben!$Y$17:$AH$103,3,1)&amp;" "&amp;VLOOKUP($O$6,Eigaben!$Y$17:$AH$103,4,1)</f>
        <v>#N/A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e">
        <f>VLOOKUP($A$6,Eigaben!$Y$17:$AH$103,5,1)</f>
        <v>#N/A</v>
      </c>
      <c r="B10" s="1187"/>
      <c r="C10" s="1187"/>
      <c r="D10" s="1187"/>
      <c r="E10" s="1187"/>
      <c r="F10" s="1187"/>
      <c r="G10" s="1111" t="e">
        <f>VLOOKUP($A$6,Eigaben!$Y$17:$AH$103,6,1)&amp;" "&amp;VLOOKUP(A6,Eigaben!$Y$17:$AH$103,7,1)</f>
        <v>#N/A</v>
      </c>
      <c r="H10" s="1112"/>
      <c r="I10" s="1112"/>
      <c r="J10" s="1112"/>
      <c r="K10" s="1112"/>
      <c r="L10" s="1112"/>
      <c r="M10" s="1113"/>
      <c r="N10" s="22"/>
      <c r="O10" s="1229" t="e">
        <f>VLOOKUP($O$6,Eigaben!$Y$17:$AH$103,5,1)</f>
        <v>#N/A</v>
      </c>
      <c r="P10" s="1187"/>
      <c r="Q10" s="1187"/>
      <c r="R10" s="1187"/>
      <c r="S10" s="1187"/>
      <c r="T10" s="1187"/>
      <c r="U10" s="1187" t="e">
        <f>VLOOKUP($O$6,Eigaben!$Y$17:$AV$103,6,1)&amp;" "&amp;VLOOKUP($O$6,Eigaben!$Y$17:$AV$103,7,1)</f>
        <v>#N/A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e">
        <f>IF(Eigaben!AF54=0,"",VLOOKUP($A$6,Eigaben!$Y$17:$AH$103,8,1))</f>
        <v>#N/A</v>
      </c>
      <c r="B11" s="1112"/>
      <c r="C11" s="1112"/>
      <c r="D11" s="1112"/>
      <c r="E11" s="1112"/>
      <c r="F11" s="861"/>
      <c r="G11" s="860" t="e">
        <f>IF(Eigaben!$AG$54=0,"",VLOOKUP($A$6,Eigaben!$Y$17:$AH$103,9,1))</f>
        <v>#N/A</v>
      </c>
      <c r="H11" s="1112"/>
      <c r="I11" s="1112"/>
      <c r="J11" s="1112"/>
      <c r="K11" s="1112"/>
      <c r="L11" s="1112"/>
      <c r="M11" s="1126"/>
      <c r="N11" s="22"/>
      <c r="O11" s="1128" t="e">
        <f>IF(Eigaben!AF55=0,"",VLOOKUP($O$6,Eigaben!$Y$17:$AH$103,8,1))</f>
        <v>#N/A</v>
      </c>
      <c r="P11" s="1112"/>
      <c r="Q11" s="1112"/>
      <c r="R11" s="1112"/>
      <c r="S11" s="1112"/>
      <c r="T11" s="861"/>
      <c r="U11" s="1112" t="e">
        <f>IF(Eigaben!$P$54=0,"",VLOOKUP($O$6,Eigaben!$Y$17:$AH$103,9,1))</f>
        <v>#N/A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e">
        <f>VLOOKUP($A$6,Eigaben!$Y$17:$AH$103,10,1)</f>
        <v>#N/A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e">
        <f>VLOOKUP($O$6,Eigaben!$Y$17:$AH$103,10,1)</f>
        <v>#N/A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Eigaben!C9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e">
        <f>IF(Eigaben!C6=0," ",VLOOKUP(C13,Eigaben!$C$6:$V$22,13,0))</f>
        <v>#N/A</v>
      </c>
      <c r="B15" s="1199"/>
      <c r="C15" s="1199"/>
      <c r="D15" s="1199"/>
      <c r="E15" s="1199"/>
      <c r="F15" s="1199"/>
      <c r="G15" s="1194" t="e">
        <f>IF(Eigaben!C6=0," ",VLOOKUP(C13,Eigaben!$C$6:$V$22,14,0))</f>
        <v>#N/A</v>
      </c>
      <c r="H15" s="1194"/>
      <c r="I15" s="1194"/>
      <c r="J15" s="1194"/>
      <c r="K15" s="1194"/>
      <c r="L15" s="1195" t="e">
        <f>IF(Eigaben!C6=0,"",VLOOKUP(C13,Eigaben!$C$6:$V$22,15,0))</f>
        <v>#N/A</v>
      </c>
      <c r="M15" s="1196"/>
      <c r="N15" s="1196"/>
      <c r="O15" s="1196"/>
      <c r="P15" s="1196"/>
      <c r="Q15" s="1196"/>
      <c r="R15" s="1196"/>
      <c r="S15" s="1197"/>
      <c r="T15" s="1183" t="e">
        <f>IF(Eigaben!C6=0,"",VLOOKUP(C13,Eigaben!C6:V22,16,0))</f>
        <v>#N/A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Eigaben!T9</f>
        <v>0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361" t="str">
        <f>IF(C16=0,"",VLOOKUP(C16,Schiri_25!A2:L181,2,1)&amp;" "&amp;VLOOKUP(C16,Schiri_25!A2:L181,5,1))</f>
        <v/>
      </c>
      <c r="B19" s="1362"/>
      <c r="C19" s="1362"/>
      <c r="D19" s="1362"/>
      <c r="E19" s="1362"/>
      <c r="F19" s="1363"/>
      <c r="G19" s="860" t="str">
        <f>IF(C16=0,"",VLOOKUP(C16,Schiri_25!A2:L181,9,1))</f>
        <v/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130" t="str">
        <f>IF(C16=0,"",VLOOKUP(C16,Schiri_25!A2:L181,12,1))</f>
        <v/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Eigaben!V9</f>
        <v>0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Eigaben!S9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699" priority="20" stopIfTrue="1" operator="greaterThan">
      <formula>$C$41</formula>
    </cfRule>
  </conditionalFormatting>
  <conditionalFormatting sqref="C41">
    <cfRule type="cellIs" dxfId="698" priority="10" stopIfTrue="1" operator="greaterThan">
      <formula>$A$41</formula>
    </cfRule>
    <cfRule type="cellIs" dxfId="697" priority="11" stopIfTrue="1" operator="greaterThan">
      <formula>$A$41</formula>
    </cfRule>
  </conditionalFormatting>
  <conditionalFormatting sqref="D41">
    <cfRule type="cellIs" dxfId="696" priority="19" stopIfTrue="1" operator="greaterThan">
      <formula>$F$41</formula>
    </cfRule>
  </conditionalFormatting>
  <conditionalFormatting sqref="F41">
    <cfRule type="cellIs" dxfId="695" priority="9" stopIfTrue="1" operator="greaterThan">
      <formula>$D$41</formula>
    </cfRule>
  </conditionalFormatting>
  <conditionalFormatting sqref="G41">
    <cfRule type="cellIs" dxfId="694" priority="18" stopIfTrue="1" operator="greaterThan">
      <formula>$I$41</formula>
    </cfRule>
  </conditionalFormatting>
  <conditionalFormatting sqref="I41">
    <cfRule type="cellIs" dxfId="693" priority="8" stopIfTrue="1" operator="greaterThan">
      <formula>$G$41</formula>
    </cfRule>
  </conditionalFormatting>
  <conditionalFormatting sqref="J41">
    <cfRule type="cellIs" dxfId="692" priority="17" stopIfTrue="1" operator="greaterThan">
      <formula>$L$41</formula>
    </cfRule>
  </conditionalFormatting>
  <conditionalFormatting sqref="L41">
    <cfRule type="cellIs" dxfId="691" priority="7" stopIfTrue="1" operator="greaterThan">
      <formula>$J$41</formula>
    </cfRule>
  </conditionalFormatting>
  <conditionalFormatting sqref="M41">
    <cfRule type="cellIs" dxfId="690" priority="16" stopIfTrue="1" operator="greaterThan">
      <formula>$O$41</formula>
    </cfRule>
  </conditionalFormatting>
  <conditionalFormatting sqref="O41">
    <cfRule type="cellIs" dxfId="689" priority="6" stopIfTrue="1" operator="greaterThan">
      <formula>$M$41</formula>
    </cfRule>
  </conditionalFormatting>
  <conditionalFormatting sqref="P41">
    <cfRule type="cellIs" dxfId="688" priority="15" stopIfTrue="1" operator="greaterThan">
      <formula>$R$41</formula>
    </cfRule>
  </conditionalFormatting>
  <conditionalFormatting sqref="R41">
    <cfRule type="cellIs" dxfId="687" priority="5" stopIfTrue="1" operator="greaterThan">
      <formula>$P$41</formula>
    </cfRule>
  </conditionalFormatting>
  <conditionalFormatting sqref="S41">
    <cfRule type="cellIs" dxfId="686" priority="14" stopIfTrue="1" operator="greaterThan">
      <formula>$U$41</formula>
    </cfRule>
  </conditionalFormatting>
  <conditionalFormatting sqref="U41">
    <cfRule type="cellIs" dxfId="685" priority="1" stopIfTrue="1" operator="greaterThan">
      <formula>$S$41</formula>
    </cfRule>
    <cfRule type="cellIs" dxfId="684" priority="4" stopIfTrue="1" operator="greaterThan">
      <formula>$U$41</formula>
    </cfRule>
  </conditionalFormatting>
  <conditionalFormatting sqref="V41">
    <cfRule type="cellIs" dxfId="683" priority="13" stopIfTrue="1" operator="greaterThan">
      <formula>$X$41</formula>
    </cfRule>
  </conditionalFormatting>
  <conditionalFormatting sqref="X41">
    <cfRule type="cellIs" dxfId="682" priority="3" stopIfTrue="1" operator="greaterThan">
      <formula>$V$41</formula>
    </cfRule>
  </conditionalFormatting>
  <conditionalFormatting sqref="Y41">
    <cfRule type="cellIs" dxfId="681" priority="12" stopIfTrue="1" operator="greaterThan">
      <formula>$AA$41</formula>
    </cfRule>
  </conditionalFormatting>
  <conditionalFormatting sqref="AA41">
    <cfRule type="cellIs" dxfId="680" priority="2" stopIfTrue="1" operator="greaterThan">
      <formula>$Y$41</formula>
    </cfRule>
  </conditionalFormatting>
  <hyperlinks>
    <hyperlink ref="R45" r:id="rId1" display="pabst@swissfaustball.ch" xr:uid="{E35904D9-B7EB-4DEF-B358-C80138441BCB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/>
  <dimension ref="A1:O180"/>
  <sheetViews>
    <sheetView workbookViewId="0">
      <selection activeCell="L10" sqref="L10"/>
    </sheetView>
  </sheetViews>
  <sheetFormatPr baseColWidth="10" defaultColWidth="10.81640625" defaultRowHeight="12.5"/>
  <cols>
    <col min="1" max="1" width="6.453125" bestFit="1" customWidth="1"/>
    <col min="2" max="2" width="12.90625" bestFit="1" customWidth="1"/>
    <col min="3" max="3" width="14" style="2" bestFit="1" customWidth="1"/>
    <col min="4" max="5" width="14" hidden="1" customWidth="1"/>
    <col min="6" max="6" width="7.1796875" style="3" bestFit="1" customWidth="1"/>
    <col min="7" max="7" width="16.7265625" style="72" bestFit="1" customWidth="1"/>
    <col min="8" max="8" width="16.26953125" style="3" bestFit="1" customWidth="1"/>
    <col min="9" max="9" width="17.81640625" style="3" bestFit="1" customWidth="1"/>
    <col min="10" max="10" width="16.26953125" style="3" bestFit="1" customWidth="1"/>
    <col min="11" max="11" width="34.54296875" bestFit="1" customWidth="1"/>
    <col min="12" max="12" width="31.81640625" bestFit="1" customWidth="1"/>
    <col min="13" max="13" width="5.26953125" bestFit="1" customWidth="1"/>
    <col min="14" max="14" width="2.1796875" bestFit="1" customWidth="1"/>
  </cols>
  <sheetData>
    <row r="1" spans="1:15" ht="13" thickBot="1">
      <c r="A1" s="200" t="s">
        <v>136</v>
      </c>
      <c r="B1" s="201" t="s">
        <v>37</v>
      </c>
      <c r="C1" s="201" t="s">
        <v>44</v>
      </c>
      <c r="D1" s="201" t="s">
        <v>39</v>
      </c>
      <c r="E1" s="201" t="s">
        <v>39</v>
      </c>
      <c r="F1" s="202" t="s">
        <v>9</v>
      </c>
      <c r="G1" s="203" t="s">
        <v>6</v>
      </c>
      <c r="H1" s="202" t="s">
        <v>325</v>
      </c>
      <c r="I1" s="202" t="s">
        <v>326</v>
      </c>
      <c r="J1" s="202" t="s">
        <v>45</v>
      </c>
      <c r="K1" s="201" t="s">
        <v>7</v>
      </c>
      <c r="L1" s="204" t="s">
        <v>46</v>
      </c>
      <c r="M1" s="205"/>
      <c r="N1" s="278"/>
    </row>
    <row r="2" spans="1:15" ht="14">
      <c r="A2" s="30">
        <v>1</v>
      </c>
      <c r="B2" s="815" t="s">
        <v>167</v>
      </c>
      <c r="C2" s="815" t="s">
        <v>251</v>
      </c>
      <c r="D2" s="816" t="str">
        <f>B2</f>
        <v>Back</v>
      </c>
      <c r="E2" s="816" t="str">
        <f>C2</f>
        <v>Lukas</v>
      </c>
      <c r="F2" s="815">
        <v>4057</v>
      </c>
      <c r="G2" s="815" t="s">
        <v>168</v>
      </c>
      <c r="H2" s="815"/>
      <c r="I2" s="815" t="s">
        <v>486</v>
      </c>
      <c r="J2" s="815"/>
      <c r="K2" s="815" t="s">
        <v>960</v>
      </c>
      <c r="L2" s="815" t="s">
        <v>331</v>
      </c>
      <c r="M2" s="870" t="s">
        <v>1004</v>
      </c>
      <c r="N2" s="278"/>
      <c r="O2" s="277"/>
    </row>
    <row r="3" spans="1:15" ht="14">
      <c r="A3" s="30">
        <v>2</v>
      </c>
      <c r="B3" s="815" t="s">
        <v>231</v>
      </c>
      <c r="C3" s="815" t="s">
        <v>23</v>
      </c>
      <c r="D3" s="816" t="str">
        <f t="shared" ref="D3:D17" si="0">B3</f>
        <v>Beeler</v>
      </c>
      <c r="E3" s="816" t="str">
        <f t="shared" ref="E3:E17" si="1">C3</f>
        <v>Roger</v>
      </c>
      <c r="F3" s="815">
        <v>8832</v>
      </c>
      <c r="G3" s="815" t="s">
        <v>232</v>
      </c>
      <c r="H3" s="815" t="s">
        <v>1124</v>
      </c>
      <c r="I3" s="815" t="s">
        <v>470</v>
      </c>
      <c r="J3" s="815"/>
      <c r="K3" s="815" t="s">
        <v>1126</v>
      </c>
      <c r="L3" s="815" t="s">
        <v>1131</v>
      </c>
      <c r="M3" s="871"/>
      <c r="N3" s="278"/>
      <c r="O3" s="277"/>
    </row>
    <row r="4" spans="1:15" ht="14">
      <c r="A4" s="30">
        <v>3</v>
      </c>
      <c r="B4" s="815" t="s">
        <v>270</v>
      </c>
      <c r="C4" s="815" t="s">
        <v>69</v>
      </c>
      <c r="D4" s="816" t="str">
        <f t="shared" si="0"/>
        <v>Bühler</v>
      </c>
      <c r="E4" s="816" t="str">
        <f t="shared" si="1"/>
        <v>Rolf</v>
      </c>
      <c r="F4" s="815">
        <v>8903</v>
      </c>
      <c r="G4" s="815" t="s">
        <v>271</v>
      </c>
      <c r="H4" s="815" t="s">
        <v>898</v>
      </c>
      <c r="I4" s="815" t="s">
        <v>471</v>
      </c>
      <c r="J4" s="815" t="s">
        <v>1125</v>
      </c>
      <c r="K4" s="815" t="s">
        <v>178</v>
      </c>
      <c r="L4" s="815" t="s">
        <v>906</v>
      </c>
      <c r="M4" s="871"/>
      <c r="N4" s="278"/>
      <c r="O4" s="277"/>
    </row>
    <row r="5" spans="1:15" ht="14">
      <c r="A5" s="30">
        <v>4</v>
      </c>
      <c r="B5" s="815" t="s">
        <v>47</v>
      </c>
      <c r="C5" s="815" t="s">
        <v>48</v>
      </c>
      <c r="D5" s="816" t="str">
        <f t="shared" si="0"/>
        <v>Cavasin</v>
      </c>
      <c r="E5" s="816" t="str">
        <f t="shared" si="1"/>
        <v>Bruno</v>
      </c>
      <c r="F5" s="815">
        <v>5615</v>
      </c>
      <c r="G5" s="815" t="s">
        <v>899</v>
      </c>
      <c r="H5" s="815"/>
      <c r="I5" s="815" t="s">
        <v>472</v>
      </c>
      <c r="J5" s="815" t="s">
        <v>473</v>
      </c>
      <c r="K5" s="815" t="s">
        <v>1127</v>
      </c>
      <c r="L5" s="815" t="s">
        <v>457</v>
      </c>
      <c r="M5" s="871"/>
      <c r="N5" s="278"/>
      <c r="O5" s="277"/>
    </row>
    <row r="6" spans="1:15" ht="14">
      <c r="A6" s="30">
        <v>5</v>
      </c>
      <c r="B6" s="815" t="s">
        <v>542</v>
      </c>
      <c r="C6" s="815" t="s">
        <v>543</v>
      </c>
      <c r="D6" s="816" t="str">
        <f t="shared" si="0"/>
        <v>Chollet</v>
      </c>
      <c r="E6" s="816" t="str">
        <f t="shared" si="1"/>
        <v>Cornelia</v>
      </c>
      <c r="F6" s="815">
        <v>8471</v>
      </c>
      <c r="G6" s="815" t="s">
        <v>404</v>
      </c>
      <c r="H6" s="815" t="s">
        <v>544</v>
      </c>
      <c r="I6" s="815" t="s">
        <v>545</v>
      </c>
      <c r="J6" s="815"/>
      <c r="K6" s="815" t="s">
        <v>1128</v>
      </c>
      <c r="L6" s="815" t="s">
        <v>580</v>
      </c>
      <c r="M6" s="871"/>
      <c r="N6" s="278"/>
      <c r="O6" s="277"/>
    </row>
    <row r="7" spans="1:15" ht="14">
      <c r="A7" s="30">
        <v>6</v>
      </c>
      <c r="B7" s="815" t="s">
        <v>209</v>
      </c>
      <c r="C7" s="815" t="s">
        <v>43</v>
      </c>
      <c r="D7" s="816" t="str">
        <f t="shared" si="0"/>
        <v>Flück</v>
      </c>
      <c r="E7" s="816" t="str">
        <f t="shared" si="1"/>
        <v>Marc</v>
      </c>
      <c r="F7" s="815">
        <v>4612</v>
      </c>
      <c r="G7" s="815" t="s">
        <v>900</v>
      </c>
      <c r="H7" s="815"/>
      <c r="I7" s="815" t="s">
        <v>493</v>
      </c>
      <c r="J7" s="815"/>
      <c r="K7" s="815" t="s">
        <v>174</v>
      </c>
      <c r="L7" s="815" t="s">
        <v>908</v>
      </c>
      <c r="M7" s="871"/>
      <c r="N7" s="278"/>
      <c r="O7" s="277"/>
    </row>
    <row r="8" spans="1:15" ht="14">
      <c r="A8" s="30">
        <v>7</v>
      </c>
      <c r="B8" s="815" t="s">
        <v>30</v>
      </c>
      <c r="C8" s="815" t="s">
        <v>31</v>
      </c>
      <c r="D8" s="816" t="str">
        <f t="shared" si="0"/>
        <v>Graf</v>
      </c>
      <c r="E8" s="816" t="str">
        <f t="shared" si="1"/>
        <v>Daniel</v>
      </c>
      <c r="F8" s="815">
        <v>8472</v>
      </c>
      <c r="G8" s="815" t="s">
        <v>29</v>
      </c>
      <c r="H8" s="815"/>
      <c r="I8" s="815" t="s">
        <v>474</v>
      </c>
      <c r="J8" s="815"/>
      <c r="K8" s="815" t="s">
        <v>1129</v>
      </c>
      <c r="L8" s="815" t="s">
        <v>909</v>
      </c>
      <c r="M8" s="871"/>
      <c r="N8" s="278"/>
      <c r="O8" s="277"/>
    </row>
    <row r="9" spans="1:15" ht="14">
      <c r="A9" s="30">
        <v>8</v>
      </c>
      <c r="B9" s="815" t="s">
        <v>70</v>
      </c>
      <c r="C9" s="815" t="s">
        <v>26</v>
      </c>
      <c r="D9" s="816" t="str">
        <f t="shared" si="0"/>
        <v>Hochuli</v>
      </c>
      <c r="E9" s="816" t="str">
        <f t="shared" si="1"/>
        <v>Jürg</v>
      </c>
      <c r="F9" s="815">
        <v>5046</v>
      </c>
      <c r="G9" s="815" t="s">
        <v>27</v>
      </c>
      <c r="H9" s="815" t="s">
        <v>475</v>
      </c>
      <c r="I9" s="815" t="s">
        <v>476</v>
      </c>
      <c r="J9" s="815"/>
      <c r="K9" s="815" t="s">
        <v>71</v>
      </c>
      <c r="L9" s="815" t="s">
        <v>150</v>
      </c>
      <c r="M9" s="871"/>
      <c r="N9" s="278"/>
      <c r="O9" s="277"/>
    </row>
    <row r="10" spans="1:15" ht="14">
      <c r="A10" s="30">
        <v>9</v>
      </c>
      <c r="B10" s="815" t="s">
        <v>897</v>
      </c>
      <c r="C10" s="815" t="s">
        <v>50</v>
      </c>
      <c r="D10" s="816" t="str">
        <f t="shared" si="0"/>
        <v>Mähr</v>
      </c>
      <c r="E10" s="816" t="str">
        <f t="shared" si="1"/>
        <v>Reto</v>
      </c>
      <c r="F10" s="815">
        <v>9242</v>
      </c>
      <c r="G10" s="815" t="s">
        <v>51</v>
      </c>
      <c r="H10" s="815"/>
      <c r="I10" s="815" t="s">
        <v>477</v>
      </c>
      <c r="J10" s="815"/>
      <c r="K10" s="815" t="s">
        <v>296</v>
      </c>
      <c r="L10" s="815" t="s">
        <v>52</v>
      </c>
      <c r="M10" s="871"/>
      <c r="N10" s="278"/>
      <c r="O10" s="277"/>
    </row>
    <row r="11" spans="1:15" ht="14">
      <c r="A11" s="30">
        <v>10</v>
      </c>
      <c r="B11" s="815" t="s">
        <v>54</v>
      </c>
      <c r="C11" s="815" t="s">
        <v>24</v>
      </c>
      <c r="D11" s="816" t="str">
        <f t="shared" si="0"/>
        <v>Meier</v>
      </c>
      <c r="E11" s="816" t="str">
        <f t="shared" si="1"/>
        <v>Marcel</v>
      </c>
      <c r="F11" s="815">
        <v>8605</v>
      </c>
      <c r="G11" s="815" t="s">
        <v>55</v>
      </c>
      <c r="H11" s="815" t="s">
        <v>478</v>
      </c>
      <c r="I11" s="815" t="s">
        <v>479</v>
      </c>
      <c r="J11" s="815" t="s">
        <v>901</v>
      </c>
      <c r="K11" s="815" t="s">
        <v>1130</v>
      </c>
      <c r="L11" s="815" t="s">
        <v>1132</v>
      </c>
      <c r="M11" s="871"/>
      <c r="N11" s="278"/>
      <c r="O11" s="277"/>
    </row>
    <row r="12" spans="1:15" ht="14">
      <c r="A12" s="30">
        <v>11</v>
      </c>
      <c r="B12" s="815" t="s">
        <v>56</v>
      </c>
      <c r="C12" s="815" t="s">
        <v>57</v>
      </c>
      <c r="D12" s="816" t="str">
        <f t="shared" si="0"/>
        <v>Meyerhans</v>
      </c>
      <c r="E12" s="816" t="str">
        <f t="shared" si="1"/>
        <v>Richard</v>
      </c>
      <c r="F12" s="815">
        <v>9424</v>
      </c>
      <c r="G12" s="815" t="s">
        <v>58</v>
      </c>
      <c r="H12" s="815"/>
      <c r="I12" s="815" t="s">
        <v>480</v>
      </c>
      <c r="J12" s="815" t="s">
        <v>481</v>
      </c>
      <c r="K12" s="815" t="s">
        <v>605</v>
      </c>
      <c r="L12" s="815" t="s">
        <v>59</v>
      </c>
      <c r="M12" s="871"/>
      <c r="N12" s="278"/>
      <c r="O12" s="277"/>
    </row>
    <row r="13" spans="1:15" ht="14">
      <c r="A13" s="30">
        <v>12</v>
      </c>
      <c r="B13" s="815" t="s">
        <v>60</v>
      </c>
      <c r="C13" s="815" t="s">
        <v>31</v>
      </c>
      <c r="D13" s="816" t="str">
        <f t="shared" si="0"/>
        <v>Müller</v>
      </c>
      <c r="E13" s="816" t="str">
        <f t="shared" si="1"/>
        <v>Daniel</v>
      </c>
      <c r="F13" s="815">
        <v>4552</v>
      </c>
      <c r="G13" s="815" t="s">
        <v>61</v>
      </c>
      <c r="H13" s="815"/>
      <c r="I13" s="815" t="s">
        <v>482</v>
      </c>
      <c r="J13" s="815" t="s">
        <v>483</v>
      </c>
      <c r="K13" s="815" t="s">
        <v>910</v>
      </c>
      <c r="L13" s="815" t="s">
        <v>911</v>
      </c>
      <c r="M13" s="871"/>
      <c r="N13" s="278"/>
      <c r="O13" s="277"/>
    </row>
    <row r="14" spans="1:15" ht="14">
      <c r="A14" s="30">
        <v>13</v>
      </c>
      <c r="B14" s="815" t="s">
        <v>221</v>
      </c>
      <c r="C14" s="815" t="s">
        <v>180</v>
      </c>
      <c r="D14" s="816" t="str">
        <f t="shared" si="0"/>
        <v>Sieber</v>
      </c>
      <c r="E14" s="816" t="str">
        <f t="shared" si="1"/>
        <v>Patrick</v>
      </c>
      <c r="F14" s="815">
        <v>9444</v>
      </c>
      <c r="G14" s="815" t="s">
        <v>19</v>
      </c>
      <c r="H14" s="815" t="s">
        <v>484</v>
      </c>
      <c r="I14" s="815" t="s">
        <v>484</v>
      </c>
      <c r="J14" s="815"/>
      <c r="K14" s="815" t="s">
        <v>912</v>
      </c>
      <c r="L14" s="815" t="s">
        <v>222</v>
      </c>
      <c r="M14" s="871"/>
      <c r="N14" s="278"/>
      <c r="O14" s="277"/>
    </row>
    <row r="15" spans="1:15" ht="14">
      <c r="A15" s="30">
        <v>14</v>
      </c>
      <c r="B15" s="815" t="s">
        <v>358</v>
      </c>
      <c r="C15" s="815" t="s">
        <v>357</v>
      </c>
      <c r="D15" s="816" t="str">
        <f t="shared" si="0"/>
        <v>Sitz</v>
      </c>
      <c r="E15" s="816" t="str">
        <f t="shared" si="1"/>
        <v>Jessica</v>
      </c>
      <c r="F15" s="815">
        <v>4552</v>
      </c>
      <c r="G15" s="815" t="s">
        <v>61</v>
      </c>
      <c r="H15" s="815"/>
      <c r="I15" s="815" t="s">
        <v>485</v>
      </c>
      <c r="J15" s="815"/>
      <c r="K15" s="815" t="s">
        <v>910</v>
      </c>
      <c r="L15" s="815" t="s">
        <v>360</v>
      </c>
      <c r="M15" s="871"/>
      <c r="N15" s="278"/>
      <c r="O15" s="277"/>
    </row>
    <row r="16" spans="1:15" ht="14.5" thickBot="1">
      <c r="A16" s="30">
        <v>15</v>
      </c>
      <c r="B16" s="815" t="s">
        <v>83</v>
      </c>
      <c r="C16" s="815" t="s">
        <v>79</v>
      </c>
      <c r="D16" s="816" t="str">
        <f t="shared" si="0"/>
        <v>Sprenger</v>
      </c>
      <c r="E16" s="816" t="str">
        <f t="shared" si="1"/>
        <v>Fredy</v>
      </c>
      <c r="F16" s="815">
        <v>9532</v>
      </c>
      <c r="G16" s="815" t="s">
        <v>294</v>
      </c>
      <c r="H16" s="815" t="s">
        <v>902</v>
      </c>
      <c r="I16" s="815" t="s">
        <v>522</v>
      </c>
      <c r="J16" s="815" t="s">
        <v>903</v>
      </c>
      <c r="K16" s="815" t="s">
        <v>278</v>
      </c>
      <c r="L16" s="815" t="s">
        <v>300</v>
      </c>
      <c r="M16" s="871"/>
      <c r="N16" s="278"/>
      <c r="O16" s="277"/>
    </row>
    <row r="17" spans="1:15" ht="14.15" customHeight="1">
      <c r="A17" s="30">
        <v>16</v>
      </c>
      <c r="B17" s="817" t="s">
        <v>487</v>
      </c>
      <c r="C17" s="817" t="s">
        <v>488</v>
      </c>
      <c r="D17" s="816" t="str">
        <f t="shared" si="0"/>
        <v>Baumann</v>
      </c>
      <c r="E17" s="816" t="str">
        <f t="shared" si="1"/>
        <v>Marius</v>
      </c>
      <c r="F17" s="817">
        <v>8820</v>
      </c>
      <c r="G17" s="817" t="s">
        <v>913</v>
      </c>
      <c r="H17" s="817"/>
      <c r="I17" s="817" t="s">
        <v>489</v>
      </c>
      <c r="J17" s="817"/>
      <c r="K17" s="817" t="s">
        <v>295</v>
      </c>
      <c r="L17" s="818" t="s">
        <v>531</v>
      </c>
      <c r="M17" s="872" t="s">
        <v>1005</v>
      </c>
      <c r="N17" s="278"/>
      <c r="O17" s="277"/>
    </row>
    <row r="18" spans="1:15" ht="14">
      <c r="A18" s="30">
        <v>17</v>
      </c>
      <c r="B18" s="817" t="s">
        <v>375</v>
      </c>
      <c r="C18" s="817" t="s">
        <v>251</v>
      </c>
      <c r="D18" s="816" t="str">
        <f t="shared" ref="D18:D81" si="2">B18</f>
        <v>Berger</v>
      </c>
      <c r="E18" s="816" t="str">
        <f t="shared" ref="E18:E81" si="3">C18</f>
        <v>Lukas</v>
      </c>
      <c r="F18" s="817">
        <v>9103</v>
      </c>
      <c r="G18" s="817" t="s">
        <v>692</v>
      </c>
      <c r="H18" s="817"/>
      <c r="I18" s="817" t="s">
        <v>586</v>
      </c>
      <c r="J18" s="817"/>
      <c r="K18" s="817" t="s">
        <v>1138</v>
      </c>
      <c r="L18" s="818" t="s">
        <v>604</v>
      </c>
      <c r="M18" s="873"/>
      <c r="N18" s="278"/>
      <c r="O18" s="277"/>
    </row>
    <row r="19" spans="1:15" ht="14">
      <c r="A19" s="30">
        <v>18</v>
      </c>
      <c r="B19" s="817" t="s">
        <v>468</v>
      </c>
      <c r="C19" s="817" t="s">
        <v>138</v>
      </c>
      <c r="D19" s="816" t="str">
        <f t="shared" si="2"/>
        <v>Bolliger</v>
      </c>
      <c r="E19" s="816" t="str">
        <f t="shared" si="3"/>
        <v>Walter</v>
      </c>
      <c r="F19" s="817">
        <v>5723</v>
      </c>
      <c r="G19" s="817" t="s">
        <v>469</v>
      </c>
      <c r="H19" s="817"/>
      <c r="I19" s="817" t="s">
        <v>490</v>
      </c>
      <c r="J19" s="817"/>
      <c r="K19" s="817" t="s">
        <v>1139</v>
      </c>
      <c r="L19" s="818" t="s">
        <v>919</v>
      </c>
      <c r="M19" s="873"/>
      <c r="N19" s="278"/>
      <c r="O19" s="277"/>
    </row>
    <row r="20" spans="1:15" ht="14">
      <c r="A20" s="30">
        <v>19</v>
      </c>
      <c r="B20" s="817" t="s">
        <v>206</v>
      </c>
      <c r="C20" s="817" t="s">
        <v>21</v>
      </c>
      <c r="D20" s="816" t="str">
        <f t="shared" si="2"/>
        <v>Bosshart</v>
      </c>
      <c r="E20" s="816" t="str">
        <f t="shared" si="3"/>
        <v>Marco</v>
      </c>
      <c r="F20" s="817">
        <v>9545</v>
      </c>
      <c r="G20" s="817" t="s">
        <v>459</v>
      </c>
      <c r="H20" s="817"/>
      <c r="I20" s="817" t="s">
        <v>539</v>
      </c>
      <c r="J20" s="817"/>
      <c r="K20" s="817" t="s">
        <v>278</v>
      </c>
      <c r="L20" s="818" t="s">
        <v>207</v>
      </c>
      <c r="M20" s="873"/>
      <c r="N20" s="278"/>
      <c r="O20" s="277"/>
    </row>
    <row r="21" spans="1:15" ht="14">
      <c r="A21" s="30">
        <v>20</v>
      </c>
      <c r="B21" s="817" t="s">
        <v>1133</v>
      </c>
      <c r="C21" s="817" t="s">
        <v>1134</v>
      </c>
      <c r="D21" s="816" t="str">
        <f t="shared" si="2"/>
        <v>Brammann</v>
      </c>
      <c r="E21" s="816" t="str">
        <f t="shared" si="3"/>
        <v>Ralf</v>
      </c>
      <c r="F21" s="817">
        <v>79576</v>
      </c>
      <c r="G21" s="817" t="s">
        <v>1135</v>
      </c>
      <c r="H21" s="817" t="s">
        <v>1136</v>
      </c>
      <c r="I21" s="817" t="s">
        <v>1137</v>
      </c>
      <c r="J21" s="817"/>
      <c r="K21" s="817" t="s">
        <v>1140</v>
      </c>
      <c r="L21" s="818" t="s">
        <v>1144</v>
      </c>
      <c r="M21" s="873"/>
      <c r="N21" s="266"/>
      <c r="O21" s="61"/>
    </row>
    <row r="22" spans="1:15" ht="14">
      <c r="A22" s="30">
        <v>21</v>
      </c>
      <c r="B22" s="817" t="s">
        <v>183</v>
      </c>
      <c r="C22" s="817" t="s">
        <v>208</v>
      </c>
      <c r="D22" s="816" t="str">
        <f t="shared" si="2"/>
        <v>Egli</v>
      </c>
      <c r="E22" s="816" t="str">
        <f t="shared" si="3"/>
        <v>Roman</v>
      </c>
      <c r="F22" s="817">
        <v>4623</v>
      </c>
      <c r="G22" s="817" t="s">
        <v>363</v>
      </c>
      <c r="H22" s="817"/>
      <c r="I22" s="817" t="s">
        <v>491</v>
      </c>
      <c r="J22" s="817"/>
      <c r="K22" s="817" t="s">
        <v>174</v>
      </c>
      <c r="L22" s="818" t="s">
        <v>361</v>
      </c>
      <c r="M22" s="873"/>
      <c r="N22" s="278"/>
      <c r="O22" s="61"/>
    </row>
    <row r="23" spans="1:15" ht="14">
      <c r="A23" s="30">
        <v>22</v>
      </c>
      <c r="B23" s="817" t="s">
        <v>272</v>
      </c>
      <c r="C23" s="817" t="s">
        <v>24</v>
      </c>
      <c r="D23" s="816" t="str">
        <f t="shared" si="2"/>
        <v>Eicher</v>
      </c>
      <c r="E23" s="816" t="str">
        <f t="shared" si="3"/>
        <v>Marcel</v>
      </c>
      <c r="F23" s="817">
        <v>9535</v>
      </c>
      <c r="G23" s="817" t="s">
        <v>258</v>
      </c>
      <c r="H23" s="817"/>
      <c r="I23" s="817" t="s">
        <v>492</v>
      </c>
      <c r="J23" s="817"/>
      <c r="K23" s="817" t="s">
        <v>278</v>
      </c>
      <c r="L23" s="818" t="s">
        <v>279</v>
      </c>
      <c r="M23" s="873"/>
      <c r="N23" s="278"/>
      <c r="O23" s="277"/>
    </row>
    <row r="24" spans="1:15" ht="14">
      <c r="A24" s="30">
        <v>23</v>
      </c>
      <c r="B24" s="817" t="s">
        <v>64</v>
      </c>
      <c r="C24" s="817" t="s">
        <v>65</v>
      </c>
      <c r="D24" s="816" t="str">
        <f t="shared" si="2"/>
        <v>Götsch</v>
      </c>
      <c r="E24" s="816" t="str">
        <f t="shared" si="3"/>
        <v>Jörg</v>
      </c>
      <c r="F24" s="817">
        <v>8575</v>
      </c>
      <c r="G24" s="817" t="s">
        <v>66</v>
      </c>
      <c r="H24" s="817" t="s">
        <v>495</v>
      </c>
      <c r="I24" s="817" t="s">
        <v>496</v>
      </c>
      <c r="J24" s="817"/>
      <c r="K24" s="817" t="s">
        <v>32</v>
      </c>
      <c r="L24" s="818" t="s">
        <v>67</v>
      </c>
      <c r="M24" s="873"/>
      <c r="N24" s="278"/>
      <c r="O24" s="277"/>
    </row>
    <row r="25" spans="1:15" ht="14">
      <c r="A25" s="30">
        <v>24</v>
      </c>
      <c r="B25" s="817" t="s">
        <v>288</v>
      </c>
      <c r="C25" s="817" t="s">
        <v>289</v>
      </c>
      <c r="D25" s="816" t="str">
        <f t="shared" si="2"/>
        <v>Haefeli</v>
      </c>
      <c r="E25" s="816" t="str">
        <f t="shared" si="3"/>
        <v>Robin</v>
      </c>
      <c r="F25" s="817">
        <v>4600</v>
      </c>
      <c r="G25" s="817" t="s">
        <v>77</v>
      </c>
      <c r="H25" s="817"/>
      <c r="I25" s="817" t="s">
        <v>498</v>
      </c>
      <c r="J25" s="817"/>
      <c r="K25" s="817" t="s">
        <v>584</v>
      </c>
      <c r="L25" s="818" t="s">
        <v>1145</v>
      </c>
      <c r="M25" s="873"/>
      <c r="N25" s="278"/>
      <c r="O25" s="277"/>
    </row>
    <row r="26" spans="1:15" ht="14">
      <c r="A26" s="30">
        <v>25</v>
      </c>
      <c r="B26" s="817" t="s">
        <v>68</v>
      </c>
      <c r="C26" s="817" t="s">
        <v>69</v>
      </c>
      <c r="D26" s="816" t="str">
        <f t="shared" si="2"/>
        <v>Häner</v>
      </c>
      <c r="E26" s="816" t="str">
        <f t="shared" si="3"/>
        <v>Rolf</v>
      </c>
      <c r="F26" s="817">
        <v>5620</v>
      </c>
      <c r="G26" s="817" t="s">
        <v>914</v>
      </c>
      <c r="H26" s="817"/>
      <c r="I26" s="817" t="s">
        <v>499</v>
      </c>
      <c r="J26" s="817"/>
      <c r="K26" s="817" t="s">
        <v>280</v>
      </c>
      <c r="L26" s="818" t="s">
        <v>920</v>
      </c>
      <c r="M26" s="873"/>
      <c r="N26" s="278"/>
      <c r="O26" s="277"/>
    </row>
    <row r="27" spans="1:15" ht="14">
      <c r="A27" s="30">
        <v>26</v>
      </c>
      <c r="B27" s="817" t="s">
        <v>291</v>
      </c>
      <c r="C27" s="817" t="s">
        <v>31</v>
      </c>
      <c r="D27" s="816" t="str">
        <f t="shared" si="2"/>
        <v>Kehl</v>
      </c>
      <c r="E27" s="816" t="str">
        <f t="shared" si="3"/>
        <v>Daniel</v>
      </c>
      <c r="F27" s="817">
        <v>9443</v>
      </c>
      <c r="G27" s="817" t="s">
        <v>292</v>
      </c>
      <c r="H27" s="817" t="s">
        <v>501</v>
      </c>
      <c r="I27" s="817" t="s">
        <v>915</v>
      </c>
      <c r="J27" s="817"/>
      <c r="K27" s="817" t="s">
        <v>296</v>
      </c>
      <c r="L27" s="818" t="s">
        <v>297</v>
      </c>
      <c r="M27" s="873"/>
      <c r="N27" s="278"/>
      <c r="O27" s="277"/>
    </row>
    <row r="28" spans="1:15" ht="14">
      <c r="A28" s="30">
        <v>27</v>
      </c>
      <c r="B28" s="817" t="s">
        <v>15</v>
      </c>
      <c r="C28" s="817" t="s">
        <v>24</v>
      </c>
      <c r="D28" s="816" t="str">
        <f t="shared" si="2"/>
        <v>Kunz</v>
      </c>
      <c r="E28" s="816" t="str">
        <f t="shared" si="3"/>
        <v>Marcel</v>
      </c>
      <c r="F28" s="817">
        <v>5708</v>
      </c>
      <c r="G28" s="817" t="s">
        <v>947</v>
      </c>
      <c r="H28" s="817"/>
      <c r="I28" s="817" t="s">
        <v>558</v>
      </c>
      <c r="J28" s="817"/>
      <c r="K28" s="817" t="s">
        <v>1141</v>
      </c>
      <c r="L28" s="818" t="s">
        <v>186</v>
      </c>
      <c r="M28" s="873"/>
      <c r="N28" s="278"/>
      <c r="O28" s="277"/>
    </row>
    <row r="29" spans="1:15" ht="14">
      <c r="A29" s="30">
        <v>28</v>
      </c>
      <c r="B29" s="817" t="s">
        <v>15</v>
      </c>
      <c r="C29" s="817" t="s">
        <v>23</v>
      </c>
      <c r="D29" s="816" t="str">
        <f t="shared" si="2"/>
        <v>Kunz</v>
      </c>
      <c r="E29" s="816" t="str">
        <f t="shared" si="3"/>
        <v>Roger</v>
      </c>
      <c r="F29" s="817">
        <v>3421</v>
      </c>
      <c r="G29" s="817" t="s">
        <v>90</v>
      </c>
      <c r="H29" s="817"/>
      <c r="I29" s="817" t="s">
        <v>502</v>
      </c>
      <c r="J29" s="817"/>
      <c r="K29" s="817" t="s">
        <v>313</v>
      </c>
      <c r="L29" s="818" t="s">
        <v>91</v>
      </c>
      <c r="M29" s="873"/>
      <c r="N29" s="278"/>
      <c r="O29" s="277"/>
    </row>
    <row r="30" spans="1:15" ht="14">
      <c r="A30" s="30">
        <v>29</v>
      </c>
      <c r="B30" s="817" t="s">
        <v>15</v>
      </c>
      <c r="C30" s="817" t="s">
        <v>16</v>
      </c>
      <c r="D30" s="816" t="str">
        <f t="shared" si="2"/>
        <v>Kunz</v>
      </c>
      <c r="E30" s="816" t="str">
        <f t="shared" si="3"/>
        <v>Stefan</v>
      </c>
      <c r="F30" s="817">
        <v>8222</v>
      </c>
      <c r="G30" s="817" t="s">
        <v>17</v>
      </c>
      <c r="H30" s="817" t="s">
        <v>503</v>
      </c>
      <c r="I30" s="817" t="s">
        <v>504</v>
      </c>
      <c r="J30" s="817" t="s">
        <v>505</v>
      </c>
      <c r="K30" s="817" t="s">
        <v>921</v>
      </c>
      <c r="L30" s="818" t="s">
        <v>250</v>
      </c>
      <c r="M30" s="873"/>
      <c r="N30" s="278"/>
      <c r="O30" s="277"/>
    </row>
    <row r="31" spans="1:15" ht="14">
      <c r="A31" s="30">
        <v>30</v>
      </c>
      <c r="B31" s="817" t="s">
        <v>506</v>
      </c>
      <c r="C31" s="817" t="s">
        <v>173</v>
      </c>
      <c r="D31" s="816" t="str">
        <f t="shared" si="2"/>
        <v>Lenz</v>
      </c>
      <c r="E31" s="816" t="str">
        <f t="shared" si="3"/>
        <v>Thomas</v>
      </c>
      <c r="F31" s="817" t="s">
        <v>507</v>
      </c>
      <c r="G31" s="817" t="s">
        <v>508</v>
      </c>
      <c r="H31" s="817"/>
      <c r="I31" s="817" t="s">
        <v>509</v>
      </c>
      <c r="J31" s="817"/>
      <c r="K31" s="817" t="s">
        <v>285</v>
      </c>
      <c r="L31" s="818" t="s">
        <v>533</v>
      </c>
      <c r="M31" s="873"/>
      <c r="N31" s="278"/>
      <c r="O31" s="277"/>
    </row>
    <row r="32" spans="1:15" ht="14">
      <c r="A32" s="30">
        <v>31</v>
      </c>
      <c r="B32" s="817" t="s">
        <v>187</v>
      </c>
      <c r="C32" s="817" t="s">
        <v>31</v>
      </c>
      <c r="D32" s="816" t="str">
        <f t="shared" si="2"/>
        <v>Lüdi</v>
      </c>
      <c r="E32" s="816" t="str">
        <f t="shared" si="3"/>
        <v>Daniel</v>
      </c>
      <c r="F32" s="817">
        <v>4914</v>
      </c>
      <c r="G32" s="817" t="s">
        <v>189</v>
      </c>
      <c r="H32" s="817"/>
      <c r="I32" s="817" t="s">
        <v>510</v>
      </c>
      <c r="J32" s="817" t="s">
        <v>511</v>
      </c>
      <c r="K32" s="817" t="s">
        <v>922</v>
      </c>
      <c r="L32" s="818" t="s">
        <v>190</v>
      </c>
      <c r="M32" s="873"/>
      <c r="N32" s="278"/>
      <c r="O32" s="277"/>
    </row>
    <row r="33" spans="1:15" ht="14">
      <c r="A33" s="30">
        <v>32</v>
      </c>
      <c r="B33" s="817" t="s">
        <v>54</v>
      </c>
      <c r="C33" s="817" t="s">
        <v>18</v>
      </c>
      <c r="D33" s="816" t="str">
        <f t="shared" si="2"/>
        <v>Meier</v>
      </c>
      <c r="E33" s="816" t="str">
        <f t="shared" si="3"/>
        <v>Michael</v>
      </c>
      <c r="F33" s="817">
        <v>9436</v>
      </c>
      <c r="G33" s="817" t="s">
        <v>147</v>
      </c>
      <c r="H33" s="817" t="s">
        <v>512</v>
      </c>
      <c r="I33" s="817" t="s">
        <v>513</v>
      </c>
      <c r="J33" s="817"/>
      <c r="K33" s="817" t="s">
        <v>298</v>
      </c>
      <c r="L33" s="818" t="s">
        <v>299</v>
      </c>
      <c r="M33" s="873"/>
      <c r="N33" s="278"/>
      <c r="O33" s="277"/>
    </row>
    <row r="34" spans="1:15" ht="14">
      <c r="A34" s="30">
        <v>33</v>
      </c>
      <c r="B34" s="817" t="s">
        <v>54</v>
      </c>
      <c r="C34" s="817" t="s">
        <v>202</v>
      </c>
      <c r="D34" s="816" t="str">
        <f t="shared" si="2"/>
        <v>Meier</v>
      </c>
      <c r="E34" s="816" t="str">
        <f t="shared" si="3"/>
        <v>Stephan</v>
      </c>
      <c r="F34" s="817">
        <v>8154</v>
      </c>
      <c r="G34" s="817" t="s">
        <v>274</v>
      </c>
      <c r="H34" s="817" t="s">
        <v>514</v>
      </c>
      <c r="I34" s="817" t="s">
        <v>515</v>
      </c>
      <c r="J34" s="817"/>
      <c r="K34" s="817" t="s">
        <v>76</v>
      </c>
      <c r="L34" s="818" t="s">
        <v>282</v>
      </c>
      <c r="M34" s="873"/>
      <c r="N34" s="278"/>
      <c r="O34" s="277"/>
    </row>
    <row r="35" spans="1:15" ht="14">
      <c r="A35" s="30">
        <v>34</v>
      </c>
      <c r="B35" s="817" t="s">
        <v>275</v>
      </c>
      <c r="C35" s="817" t="s">
        <v>63</v>
      </c>
      <c r="D35" s="816" t="str">
        <f t="shared" si="2"/>
        <v>Meili</v>
      </c>
      <c r="E35" s="816" t="str">
        <f t="shared" si="3"/>
        <v>René</v>
      </c>
      <c r="F35" s="817">
        <v>8406</v>
      </c>
      <c r="G35" s="817" t="s">
        <v>228</v>
      </c>
      <c r="H35" s="817"/>
      <c r="I35" s="817" t="s">
        <v>516</v>
      </c>
      <c r="J35" s="817"/>
      <c r="K35" s="817" t="s">
        <v>281</v>
      </c>
      <c r="L35" s="818" t="s">
        <v>923</v>
      </c>
      <c r="M35" s="873"/>
      <c r="N35" s="278"/>
      <c r="O35" s="277"/>
    </row>
    <row r="36" spans="1:15" ht="14">
      <c r="A36" s="30">
        <v>35</v>
      </c>
      <c r="B36" s="817" t="s">
        <v>306</v>
      </c>
      <c r="C36" s="817" t="s">
        <v>307</v>
      </c>
      <c r="D36" s="816" t="str">
        <f t="shared" si="2"/>
        <v>Notaro</v>
      </c>
      <c r="E36" s="816" t="str">
        <f t="shared" si="3"/>
        <v>Luigi</v>
      </c>
      <c r="F36" s="817">
        <v>3432</v>
      </c>
      <c r="G36" s="817" t="s">
        <v>564</v>
      </c>
      <c r="H36" s="817" t="s">
        <v>565</v>
      </c>
      <c r="I36" s="817" t="s">
        <v>566</v>
      </c>
      <c r="J36" s="817"/>
      <c r="K36" s="817" t="s">
        <v>1142</v>
      </c>
      <c r="L36" s="818" t="s">
        <v>924</v>
      </c>
      <c r="M36" s="873"/>
      <c r="N36" s="278"/>
      <c r="O36" s="277"/>
    </row>
    <row r="37" spans="1:15" ht="14">
      <c r="A37" s="30">
        <v>36</v>
      </c>
      <c r="B37" s="817" t="s">
        <v>359</v>
      </c>
      <c r="C37" s="817" t="s">
        <v>196</v>
      </c>
      <c r="D37" s="816" t="str">
        <f t="shared" si="2"/>
        <v>Schaufelberger</v>
      </c>
      <c r="E37" s="816" t="str">
        <f t="shared" si="3"/>
        <v>Sascha</v>
      </c>
      <c r="F37" s="817">
        <v>5276</v>
      </c>
      <c r="G37" s="817" t="s">
        <v>197</v>
      </c>
      <c r="H37" s="817"/>
      <c r="I37" s="817" t="s">
        <v>573</v>
      </c>
      <c r="J37" s="817"/>
      <c r="K37" s="817" t="s">
        <v>185</v>
      </c>
      <c r="L37" s="818" t="s">
        <v>198</v>
      </c>
      <c r="M37" s="873"/>
      <c r="N37" s="266"/>
      <c r="O37" s="61"/>
    </row>
    <row r="38" spans="1:15" ht="14">
      <c r="A38" s="30">
        <v>37</v>
      </c>
      <c r="B38" s="817" t="s">
        <v>277</v>
      </c>
      <c r="C38" s="817" t="s">
        <v>21</v>
      </c>
      <c r="D38" s="816" t="str">
        <f t="shared" si="2"/>
        <v>Schönenberger</v>
      </c>
      <c r="E38" s="816" t="str">
        <f t="shared" si="3"/>
        <v>Marco</v>
      </c>
      <c r="F38" s="817">
        <v>8424</v>
      </c>
      <c r="G38" s="817" t="s">
        <v>78</v>
      </c>
      <c r="H38" s="817" t="s">
        <v>518</v>
      </c>
      <c r="I38" s="817" t="s">
        <v>519</v>
      </c>
      <c r="J38" s="817" t="s">
        <v>520</v>
      </c>
      <c r="K38" s="817" t="s">
        <v>76</v>
      </c>
      <c r="L38" s="818" t="s">
        <v>284</v>
      </c>
      <c r="M38" s="873"/>
      <c r="N38" s="278"/>
      <c r="O38" s="277"/>
    </row>
    <row r="39" spans="1:15" ht="14">
      <c r="A39" s="30">
        <v>38</v>
      </c>
      <c r="B39" s="817" t="s">
        <v>223</v>
      </c>
      <c r="C39" s="817" t="s">
        <v>135</v>
      </c>
      <c r="D39" s="816" t="str">
        <f t="shared" si="2"/>
        <v>Soller</v>
      </c>
      <c r="E39" s="816" t="str">
        <f t="shared" si="3"/>
        <v>Simon</v>
      </c>
      <c r="F39" s="817">
        <v>9547</v>
      </c>
      <c r="G39" s="817" t="s">
        <v>916</v>
      </c>
      <c r="H39" s="817"/>
      <c r="I39" s="817" t="s">
        <v>521</v>
      </c>
      <c r="J39" s="817"/>
      <c r="K39" s="817" t="s">
        <v>87</v>
      </c>
      <c r="L39" s="818" t="s">
        <v>286</v>
      </c>
      <c r="M39" s="873"/>
      <c r="N39" s="278"/>
      <c r="O39" s="61"/>
    </row>
    <row r="40" spans="1:15" ht="14">
      <c r="A40" s="30">
        <v>39</v>
      </c>
      <c r="B40" s="817" t="s">
        <v>199</v>
      </c>
      <c r="C40" s="817" t="s">
        <v>26</v>
      </c>
      <c r="D40" s="816" t="str">
        <f t="shared" si="2"/>
        <v>Steudler</v>
      </c>
      <c r="E40" s="816" t="str">
        <f t="shared" si="3"/>
        <v>Jürg</v>
      </c>
      <c r="F40" s="817">
        <v>3421</v>
      </c>
      <c r="G40" s="817" t="s">
        <v>90</v>
      </c>
      <c r="H40" s="817"/>
      <c r="I40" s="817" t="s">
        <v>523</v>
      </c>
      <c r="J40" s="817"/>
      <c r="K40" s="817" t="s">
        <v>925</v>
      </c>
      <c r="L40" s="818" t="s">
        <v>458</v>
      </c>
      <c r="M40" s="873"/>
      <c r="N40" s="278"/>
      <c r="O40" s="277"/>
    </row>
    <row r="41" spans="1:15" ht="14">
      <c r="A41" s="30">
        <v>40</v>
      </c>
      <c r="B41" s="817" t="s">
        <v>524</v>
      </c>
      <c r="C41" s="817" t="s">
        <v>81</v>
      </c>
      <c r="D41" s="816" t="str">
        <f t="shared" si="2"/>
        <v>Steuer</v>
      </c>
      <c r="E41" s="816" t="str">
        <f t="shared" si="3"/>
        <v>Christian</v>
      </c>
      <c r="F41" s="817">
        <v>8424</v>
      </c>
      <c r="G41" s="817" t="s">
        <v>78</v>
      </c>
      <c r="H41" s="817"/>
      <c r="I41" s="817" t="s">
        <v>525</v>
      </c>
      <c r="J41" s="817"/>
      <c r="K41" s="817" t="s">
        <v>178</v>
      </c>
      <c r="L41" s="818" t="s">
        <v>926</v>
      </c>
      <c r="M41" s="873"/>
      <c r="N41" s="278"/>
      <c r="O41" s="61"/>
    </row>
    <row r="42" spans="1:15" ht="14">
      <c r="A42" s="30">
        <v>41</v>
      </c>
      <c r="B42" s="817" t="s">
        <v>171</v>
      </c>
      <c r="C42" s="817" t="s">
        <v>24</v>
      </c>
      <c r="D42" s="816" t="str">
        <f t="shared" si="2"/>
        <v>Stoffel</v>
      </c>
      <c r="E42" s="816" t="str">
        <f t="shared" si="3"/>
        <v>Marcel</v>
      </c>
      <c r="F42" s="817">
        <v>9443</v>
      </c>
      <c r="G42" s="817" t="s">
        <v>292</v>
      </c>
      <c r="H42" s="817"/>
      <c r="I42" s="817" t="s">
        <v>526</v>
      </c>
      <c r="J42" s="817"/>
      <c r="K42" s="817" t="s">
        <v>296</v>
      </c>
      <c r="L42" s="818" t="s">
        <v>927</v>
      </c>
      <c r="M42" s="873"/>
      <c r="N42" s="278"/>
      <c r="O42" s="277"/>
    </row>
    <row r="43" spans="1:15" ht="14">
      <c r="A43" s="30">
        <v>42</v>
      </c>
      <c r="B43" s="817" t="s">
        <v>92</v>
      </c>
      <c r="C43" s="817" t="s">
        <v>93</v>
      </c>
      <c r="D43" s="816" t="str">
        <f t="shared" si="2"/>
        <v>Stürchler</v>
      </c>
      <c r="E43" s="816" t="str">
        <f t="shared" si="3"/>
        <v>Alexander</v>
      </c>
      <c r="F43" s="817">
        <v>5083</v>
      </c>
      <c r="G43" s="817" t="s">
        <v>917</v>
      </c>
      <c r="H43" s="817"/>
      <c r="I43" s="817" t="s">
        <v>575</v>
      </c>
      <c r="J43" s="817"/>
      <c r="K43" s="817" t="s">
        <v>1143</v>
      </c>
      <c r="L43" s="818" t="s">
        <v>200</v>
      </c>
      <c r="M43" s="873"/>
      <c r="N43" s="278"/>
      <c r="O43" s="277"/>
    </row>
    <row r="44" spans="1:15" ht="14">
      <c r="A44" s="30">
        <v>43</v>
      </c>
      <c r="B44" s="817" t="s">
        <v>86</v>
      </c>
      <c r="C44" s="817" t="s">
        <v>937</v>
      </c>
      <c r="D44" s="816" t="str">
        <f t="shared" si="2"/>
        <v>Tenini</v>
      </c>
      <c r="E44" s="816" t="str">
        <f t="shared" si="3"/>
        <v>Rico</v>
      </c>
      <c r="F44" s="817">
        <v>9565</v>
      </c>
      <c r="G44" s="817" t="s">
        <v>955</v>
      </c>
      <c r="H44" s="817"/>
      <c r="I44" s="817" t="s">
        <v>956</v>
      </c>
      <c r="J44" s="817"/>
      <c r="K44" s="817" t="s">
        <v>84</v>
      </c>
      <c r="L44" s="818" t="s">
        <v>972</v>
      </c>
      <c r="M44" s="873"/>
      <c r="N44" s="278"/>
      <c r="O44" s="277"/>
    </row>
    <row r="45" spans="1:15" ht="14">
      <c r="A45" s="30">
        <v>44</v>
      </c>
      <c r="B45" s="817" t="s">
        <v>201</v>
      </c>
      <c r="C45" s="817" t="s">
        <v>202</v>
      </c>
      <c r="D45" s="816" t="str">
        <f t="shared" si="2"/>
        <v>Wagner</v>
      </c>
      <c r="E45" s="816" t="str">
        <f t="shared" si="3"/>
        <v>Stephan</v>
      </c>
      <c r="F45" s="817">
        <v>4626</v>
      </c>
      <c r="G45" s="817" t="s">
        <v>203</v>
      </c>
      <c r="H45" s="817" t="s">
        <v>529</v>
      </c>
      <c r="I45" s="817" t="s">
        <v>918</v>
      </c>
      <c r="J45" s="817"/>
      <c r="K45" s="817" t="s">
        <v>53</v>
      </c>
      <c r="L45" s="818" t="s">
        <v>204</v>
      </c>
      <c r="M45" s="873"/>
      <c r="N45" s="278"/>
      <c r="O45" s="277"/>
    </row>
    <row r="46" spans="1:15" ht="14.5" thickBot="1">
      <c r="A46" s="30">
        <v>45</v>
      </c>
      <c r="B46" s="817" t="s">
        <v>80</v>
      </c>
      <c r="C46" s="817" t="s">
        <v>139</v>
      </c>
      <c r="D46" s="816" t="str">
        <f t="shared" si="2"/>
        <v>Zahner</v>
      </c>
      <c r="E46" s="816" t="str">
        <f t="shared" si="3"/>
        <v>Fabian</v>
      </c>
      <c r="F46" s="817">
        <v>8645</v>
      </c>
      <c r="G46" s="817" t="s">
        <v>20</v>
      </c>
      <c r="H46" s="817"/>
      <c r="I46" s="817" t="s">
        <v>530</v>
      </c>
      <c r="J46" s="817"/>
      <c r="K46" s="817" t="s">
        <v>295</v>
      </c>
      <c r="L46" s="818" t="s">
        <v>302</v>
      </c>
      <c r="M46" s="874"/>
      <c r="N46" s="278"/>
      <c r="O46" s="277"/>
    </row>
    <row r="47" spans="1:15" ht="14.15" customHeight="1">
      <c r="A47" s="30">
        <v>46</v>
      </c>
      <c r="B47" s="819" t="s">
        <v>378</v>
      </c>
      <c r="C47" s="819" t="s">
        <v>81</v>
      </c>
      <c r="D47" s="816" t="str">
        <f t="shared" si="2"/>
        <v>Angstmann</v>
      </c>
      <c r="E47" s="816" t="str">
        <f t="shared" si="3"/>
        <v>Christian</v>
      </c>
      <c r="F47" s="819">
        <v>5619</v>
      </c>
      <c r="G47" s="819" t="s">
        <v>379</v>
      </c>
      <c r="H47" s="819" t="s">
        <v>534</v>
      </c>
      <c r="I47" s="819" t="s">
        <v>535</v>
      </c>
      <c r="J47" s="819" t="s">
        <v>536</v>
      </c>
      <c r="K47" s="819" t="s">
        <v>904</v>
      </c>
      <c r="L47" s="819" t="s">
        <v>380</v>
      </c>
      <c r="M47" s="875" t="s">
        <v>1006</v>
      </c>
      <c r="N47" s="266"/>
      <c r="O47" s="277"/>
    </row>
    <row r="48" spans="1:15" ht="14">
      <c r="A48" s="30">
        <v>47</v>
      </c>
      <c r="B48" s="819" t="s">
        <v>167</v>
      </c>
      <c r="C48" s="819" t="s">
        <v>63</v>
      </c>
      <c r="D48" s="816" t="str">
        <f t="shared" si="2"/>
        <v>Back</v>
      </c>
      <c r="E48" s="816" t="str">
        <f t="shared" si="3"/>
        <v>René</v>
      </c>
      <c r="F48" s="819">
        <v>4057</v>
      </c>
      <c r="G48" s="819" t="s">
        <v>168</v>
      </c>
      <c r="H48" s="819" t="s">
        <v>537</v>
      </c>
      <c r="I48" s="819" t="s">
        <v>538</v>
      </c>
      <c r="J48" s="819"/>
      <c r="K48" s="819" t="s">
        <v>960</v>
      </c>
      <c r="L48" s="819" t="s">
        <v>169</v>
      </c>
      <c r="M48" s="876"/>
      <c r="N48" s="278"/>
      <c r="O48" s="277"/>
    </row>
    <row r="49" spans="1:15" ht="14">
      <c r="A49" s="30">
        <v>48</v>
      </c>
      <c r="B49" s="819" t="s">
        <v>928</v>
      </c>
      <c r="C49" s="819" t="s">
        <v>929</v>
      </c>
      <c r="D49" s="816" t="str">
        <f t="shared" si="2"/>
        <v>Bär</v>
      </c>
      <c r="E49" s="816" t="str">
        <f t="shared" si="3"/>
        <v>Liliane</v>
      </c>
      <c r="F49" s="819">
        <v>8400</v>
      </c>
      <c r="G49" s="819" t="s">
        <v>228</v>
      </c>
      <c r="H49" s="819"/>
      <c r="I49" s="819" t="s">
        <v>939</v>
      </c>
      <c r="J49" s="819"/>
      <c r="K49" s="819" t="s">
        <v>961</v>
      </c>
      <c r="L49" s="819" t="s">
        <v>962</v>
      </c>
      <c r="M49" s="876"/>
      <c r="N49" s="278"/>
      <c r="O49" s="61"/>
    </row>
    <row r="50" spans="1:15" ht="14">
      <c r="A50" s="30">
        <v>49</v>
      </c>
      <c r="B50" s="819" t="s">
        <v>814</v>
      </c>
      <c r="C50" s="819" t="s">
        <v>815</v>
      </c>
      <c r="D50" s="816" t="str">
        <f t="shared" si="2"/>
        <v>Binggeli</v>
      </c>
      <c r="E50" s="816" t="str">
        <f t="shared" si="3"/>
        <v>Roland</v>
      </c>
      <c r="F50" s="819">
        <v>4455</v>
      </c>
      <c r="G50" s="819" t="s">
        <v>816</v>
      </c>
      <c r="H50" s="819"/>
      <c r="I50" s="819" t="s">
        <v>940</v>
      </c>
      <c r="J50" s="819"/>
      <c r="K50" s="819" t="s">
        <v>72</v>
      </c>
      <c r="L50" s="819" t="s">
        <v>812</v>
      </c>
      <c r="M50" s="876"/>
      <c r="N50" s="278"/>
      <c r="O50" s="277"/>
    </row>
    <row r="51" spans="1:15" ht="14">
      <c r="A51" s="30">
        <v>50</v>
      </c>
      <c r="B51" s="819" t="s">
        <v>175</v>
      </c>
      <c r="C51" s="819" t="s">
        <v>176</v>
      </c>
      <c r="D51" s="816" t="str">
        <f t="shared" si="2"/>
        <v>Burkhalter</v>
      </c>
      <c r="E51" s="816" t="str">
        <f t="shared" si="3"/>
        <v>Claudine</v>
      </c>
      <c r="F51" s="819">
        <v>8103</v>
      </c>
      <c r="G51" s="819" t="s">
        <v>177</v>
      </c>
      <c r="H51" s="819"/>
      <c r="I51" s="819" t="s">
        <v>540</v>
      </c>
      <c r="J51" s="819"/>
      <c r="K51" s="819" t="s">
        <v>178</v>
      </c>
      <c r="L51" s="819" t="s">
        <v>179</v>
      </c>
      <c r="M51" s="876"/>
      <c r="N51" s="278"/>
      <c r="O51" s="61"/>
    </row>
    <row r="52" spans="1:15" ht="14">
      <c r="A52" s="30">
        <v>51</v>
      </c>
      <c r="B52" s="819" t="s">
        <v>175</v>
      </c>
      <c r="C52" s="819" t="s">
        <v>180</v>
      </c>
      <c r="D52" s="816" t="str">
        <f t="shared" si="2"/>
        <v>Burkhalter</v>
      </c>
      <c r="E52" s="816" t="str">
        <f t="shared" si="3"/>
        <v>Patrick</v>
      </c>
      <c r="F52" s="819">
        <v>8104</v>
      </c>
      <c r="G52" s="819" t="s">
        <v>941</v>
      </c>
      <c r="H52" s="819"/>
      <c r="I52" s="819" t="s">
        <v>541</v>
      </c>
      <c r="J52" s="819"/>
      <c r="K52" s="819" t="s">
        <v>181</v>
      </c>
      <c r="L52" s="819" t="s">
        <v>182</v>
      </c>
      <c r="M52" s="876"/>
      <c r="N52" s="278"/>
      <c r="O52" s="277"/>
    </row>
    <row r="53" spans="1:15" ht="14">
      <c r="A53" s="30">
        <v>52</v>
      </c>
      <c r="B53" s="819" t="s">
        <v>930</v>
      </c>
      <c r="C53" s="819" t="s">
        <v>931</v>
      </c>
      <c r="D53" s="816" t="str">
        <f t="shared" si="2"/>
        <v>Fehr</v>
      </c>
      <c r="E53" s="816" t="str">
        <f t="shared" si="3"/>
        <v>Joël</v>
      </c>
      <c r="F53" s="819">
        <v>8406</v>
      </c>
      <c r="G53" s="819" t="s">
        <v>228</v>
      </c>
      <c r="H53" s="819"/>
      <c r="I53" s="819" t="s">
        <v>942</v>
      </c>
      <c r="J53" s="819"/>
      <c r="K53" s="819" t="s">
        <v>963</v>
      </c>
      <c r="L53" s="819" t="s">
        <v>964</v>
      </c>
      <c r="M53" s="876"/>
      <c r="N53" s="266"/>
      <c r="O53" s="277"/>
    </row>
    <row r="54" spans="1:15" ht="14">
      <c r="A54" s="30">
        <v>53</v>
      </c>
      <c r="B54" s="819" t="s">
        <v>930</v>
      </c>
      <c r="C54" s="819" t="s">
        <v>932</v>
      </c>
      <c r="D54" s="816" t="str">
        <f t="shared" si="2"/>
        <v>Fehr</v>
      </c>
      <c r="E54" s="816" t="str">
        <f t="shared" si="3"/>
        <v>Nicolas</v>
      </c>
      <c r="F54" s="819">
        <v>8406</v>
      </c>
      <c r="G54" s="819" t="s">
        <v>228</v>
      </c>
      <c r="H54" s="819"/>
      <c r="I54" s="819" t="s">
        <v>943</v>
      </c>
      <c r="J54" s="819"/>
      <c r="K54" s="819" t="s">
        <v>963</v>
      </c>
      <c r="L54" s="819" t="s">
        <v>965</v>
      </c>
      <c r="M54" s="876"/>
      <c r="N54" s="278"/>
      <c r="O54" s="277"/>
    </row>
    <row r="55" spans="1:15" ht="14">
      <c r="A55" s="30">
        <v>54</v>
      </c>
      <c r="B55" s="819" t="s">
        <v>303</v>
      </c>
      <c r="C55" s="819" t="s">
        <v>81</v>
      </c>
      <c r="D55" s="816" t="str">
        <f t="shared" si="2"/>
        <v>Fluri</v>
      </c>
      <c r="E55" s="816" t="str">
        <f t="shared" si="3"/>
        <v>Christian</v>
      </c>
      <c r="F55" s="819">
        <v>6016</v>
      </c>
      <c r="G55" s="819" t="s">
        <v>944</v>
      </c>
      <c r="H55" s="819"/>
      <c r="I55" s="819" t="s">
        <v>546</v>
      </c>
      <c r="J55" s="819"/>
      <c r="K55" s="819" t="s">
        <v>268</v>
      </c>
      <c r="L55" s="819" t="s">
        <v>309</v>
      </c>
      <c r="M55" s="876"/>
      <c r="N55" s="278"/>
      <c r="O55" s="277"/>
    </row>
    <row r="56" spans="1:15" ht="14">
      <c r="A56" s="30">
        <v>55</v>
      </c>
      <c r="B56" s="819" t="s">
        <v>933</v>
      </c>
      <c r="C56" s="819" t="s">
        <v>934</v>
      </c>
      <c r="D56" s="816" t="str">
        <f t="shared" si="2"/>
        <v>Frehner</v>
      </c>
      <c r="E56" s="816" t="str">
        <f t="shared" si="3"/>
        <v>Megan</v>
      </c>
      <c r="F56" s="819">
        <v>8400</v>
      </c>
      <c r="G56" s="819" t="s">
        <v>228</v>
      </c>
      <c r="H56" s="819"/>
      <c r="I56" s="819" t="s">
        <v>945</v>
      </c>
      <c r="J56" s="819"/>
      <c r="K56" s="819" t="s">
        <v>961</v>
      </c>
      <c r="L56" s="819" t="s">
        <v>966</v>
      </c>
      <c r="M56" s="876"/>
      <c r="N56" s="278"/>
      <c r="O56" s="277"/>
    </row>
    <row r="57" spans="1:15" ht="14">
      <c r="A57" s="30">
        <v>56</v>
      </c>
      <c r="B57" s="819" t="s">
        <v>547</v>
      </c>
      <c r="C57" s="819" t="s">
        <v>135</v>
      </c>
      <c r="D57" s="816" t="str">
        <f t="shared" si="2"/>
        <v>Frei</v>
      </c>
      <c r="E57" s="816" t="str">
        <f t="shared" si="3"/>
        <v>Simon</v>
      </c>
      <c r="F57" s="819">
        <v>9008</v>
      </c>
      <c r="G57" s="819" t="s">
        <v>548</v>
      </c>
      <c r="H57" s="819"/>
      <c r="I57" s="819" t="s">
        <v>549</v>
      </c>
      <c r="J57" s="819"/>
      <c r="K57" s="819" t="s">
        <v>1152</v>
      </c>
      <c r="L57" s="819" t="s">
        <v>581</v>
      </c>
      <c r="M57" s="876"/>
      <c r="N57" s="278"/>
      <c r="O57" s="61"/>
    </row>
    <row r="58" spans="1:15" ht="14">
      <c r="A58" s="30">
        <v>57</v>
      </c>
      <c r="B58" s="819" t="s">
        <v>166</v>
      </c>
      <c r="C58" s="819" t="s">
        <v>82</v>
      </c>
      <c r="D58" s="816" t="str">
        <f t="shared" si="2"/>
        <v>Friedlos</v>
      </c>
      <c r="E58" s="816" t="str">
        <f t="shared" si="3"/>
        <v>Manfred</v>
      </c>
      <c r="F58" s="819">
        <v>8854</v>
      </c>
      <c r="G58" s="819" t="s">
        <v>287</v>
      </c>
      <c r="H58" s="819" t="s">
        <v>550</v>
      </c>
      <c r="I58" s="819" t="s">
        <v>551</v>
      </c>
      <c r="J58" s="819" t="s">
        <v>1147</v>
      </c>
      <c r="K58" s="819" t="s">
        <v>905</v>
      </c>
      <c r="L58" s="819" t="s">
        <v>968</v>
      </c>
      <c r="M58" s="876"/>
      <c r="N58" s="278"/>
      <c r="O58" s="61"/>
    </row>
    <row r="59" spans="1:15" ht="14">
      <c r="A59" s="30">
        <v>58</v>
      </c>
      <c r="B59" s="819" t="s">
        <v>587</v>
      </c>
      <c r="C59" s="819" t="s">
        <v>588</v>
      </c>
      <c r="D59" s="816" t="str">
        <f t="shared" si="2"/>
        <v>Frischknecht</v>
      </c>
      <c r="E59" s="816" t="str">
        <f t="shared" si="3"/>
        <v>Fabienne</v>
      </c>
      <c r="F59" s="819">
        <v>9000</v>
      </c>
      <c r="G59" s="819" t="s">
        <v>548</v>
      </c>
      <c r="H59" s="819"/>
      <c r="I59" s="819" t="s">
        <v>589</v>
      </c>
      <c r="J59" s="819"/>
      <c r="K59" s="819" t="s">
        <v>1153</v>
      </c>
      <c r="L59" s="819" t="s">
        <v>606</v>
      </c>
      <c r="M59" s="876"/>
      <c r="N59" s="278"/>
      <c r="O59" s="61"/>
    </row>
    <row r="60" spans="1:15" ht="14">
      <c r="A60" s="30">
        <v>59</v>
      </c>
      <c r="B60" s="819" t="s">
        <v>384</v>
      </c>
      <c r="C60" s="819" t="s">
        <v>383</v>
      </c>
      <c r="D60" s="816" t="str">
        <f t="shared" si="2"/>
        <v>Grüninger</v>
      </c>
      <c r="E60" s="816" t="str">
        <f t="shared" si="3"/>
        <v>Philipp</v>
      </c>
      <c r="F60" s="819">
        <v>8888</v>
      </c>
      <c r="G60" s="819" t="s">
        <v>946</v>
      </c>
      <c r="H60" s="819"/>
      <c r="I60" s="819" t="s">
        <v>552</v>
      </c>
      <c r="J60" s="819"/>
      <c r="K60" s="819" t="s">
        <v>385</v>
      </c>
      <c r="L60" s="819" t="s">
        <v>386</v>
      </c>
      <c r="M60" s="876"/>
      <c r="N60" s="266"/>
      <c r="O60" s="277"/>
    </row>
    <row r="61" spans="1:15" ht="14">
      <c r="A61" s="30">
        <v>60</v>
      </c>
      <c r="B61" s="819" t="s">
        <v>553</v>
      </c>
      <c r="C61" s="819" t="s">
        <v>554</v>
      </c>
      <c r="D61" s="816" t="str">
        <f t="shared" si="2"/>
        <v>Haller</v>
      </c>
      <c r="E61" s="816" t="str">
        <f t="shared" si="3"/>
        <v>Raphael</v>
      </c>
      <c r="F61" s="819">
        <v>6023</v>
      </c>
      <c r="G61" s="819" t="s">
        <v>555</v>
      </c>
      <c r="H61" s="819"/>
      <c r="I61" s="819" t="s">
        <v>556</v>
      </c>
      <c r="J61" s="819"/>
      <c r="K61" s="819" t="s">
        <v>582</v>
      </c>
      <c r="L61" s="819" t="s">
        <v>583</v>
      </c>
      <c r="M61" s="876"/>
      <c r="N61" s="266"/>
      <c r="O61" s="61"/>
    </row>
    <row r="62" spans="1:15" ht="14">
      <c r="A62" s="30">
        <v>61</v>
      </c>
      <c r="B62" s="819" t="s">
        <v>305</v>
      </c>
      <c r="C62" s="819" t="s">
        <v>249</v>
      </c>
      <c r="D62" s="816" t="str">
        <f t="shared" si="2"/>
        <v>Krautter</v>
      </c>
      <c r="E62" s="816" t="str">
        <f t="shared" si="3"/>
        <v>Heinz</v>
      </c>
      <c r="F62" s="819">
        <v>5027</v>
      </c>
      <c r="G62" s="819" t="s">
        <v>377</v>
      </c>
      <c r="H62" s="819"/>
      <c r="I62" s="819" t="s">
        <v>557</v>
      </c>
      <c r="J62" s="819"/>
      <c r="K62" s="819" t="s">
        <v>310</v>
      </c>
      <c r="L62" s="819" t="s">
        <v>311</v>
      </c>
      <c r="M62" s="876"/>
      <c r="N62" s="278"/>
      <c r="O62" s="61"/>
    </row>
    <row r="63" spans="1:15" ht="14">
      <c r="A63" s="30">
        <v>62</v>
      </c>
      <c r="B63" s="819" t="s">
        <v>935</v>
      </c>
      <c r="C63" s="819" t="s">
        <v>14</v>
      </c>
      <c r="D63" s="816" t="str">
        <f t="shared" si="2"/>
        <v>Kupper</v>
      </c>
      <c r="E63" s="816" t="str">
        <f t="shared" si="3"/>
        <v>Pascal</v>
      </c>
      <c r="F63" s="819">
        <v>8353</v>
      </c>
      <c r="G63" s="819" t="s">
        <v>874</v>
      </c>
      <c r="H63" s="819" t="s">
        <v>948</v>
      </c>
      <c r="I63" s="819" t="s">
        <v>949</v>
      </c>
      <c r="J63" s="819"/>
      <c r="K63" s="819" t="s">
        <v>963</v>
      </c>
      <c r="L63" s="819" t="s">
        <v>969</v>
      </c>
      <c r="M63" s="876"/>
      <c r="N63" s="266"/>
      <c r="O63" s="277"/>
    </row>
    <row r="64" spans="1:15" ht="14">
      <c r="A64" s="30">
        <v>63</v>
      </c>
      <c r="B64" s="819" t="s">
        <v>49</v>
      </c>
      <c r="C64" s="819" t="s">
        <v>4</v>
      </c>
      <c r="D64" s="816" t="str">
        <f t="shared" si="2"/>
        <v>Leu</v>
      </c>
      <c r="E64" s="816" t="str">
        <f t="shared" si="3"/>
        <v>Peter</v>
      </c>
      <c r="F64" s="819">
        <v>6014</v>
      </c>
      <c r="G64" s="819" t="s">
        <v>172</v>
      </c>
      <c r="H64" s="819"/>
      <c r="I64" s="819" t="s">
        <v>559</v>
      </c>
      <c r="J64" s="819"/>
      <c r="K64" s="819" t="s">
        <v>1154</v>
      </c>
      <c r="L64" s="819" t="s">
        <v>269</v>
      </c>
      <c r="M64" s="876"/>
      <c r="N64" s="278"/>
      <c r="O64" s="277"/>
    </row>
    <row r="65" spans="1:15" ht="14">
      <c r="A65" s="30">
        <v>64</v>
      </c>
      <c r="B65" s="819" t="s">
        <v>977</v>
      </c>
      <c r="C65" s="819" t="s">
        <v>978</v>
      </c>
      <c r="D65" s="816" t="str">
        <f t="shared" si="2"/>
        <v>Lieberherr</v>
      </c>
      <c r="E65" s="816" t="str">
        <f t="shared" si="3"/>
        <v>Claudio</v>
      </c>
      <c r="F65" s="819">
        <v>8308</v>
      </c>
      <c r="G65" s="819" t="s">
        <v>984</v>
      </c>
      <c r="H65" s="819"/>
      <c r="I65" s="819" t="s">
        <v>1148</v>
      </c>
      <c r="J65" s="819"/>
      <c r="K65" s="819" t="s">
        <v>988</v>
      </c>
      <c r="L65" s="819" t="s">
        <v>989</v>
      </c>
      <c r="M65" s="876"/>
      <c r="N65" s="266"/>
      <c r="O65" s="61"/>
    </row>
    <row r="66" spans="1:15" ht="14">
      <c r="A66" s="30">
        <v>65</v>
      </c>
      <c r="B66" s="819" t="s">
        <v>979</v>
      </c>
      <c r="C66" s="819" t="s">
        <v>980</v>
      </c>
      <c r="D66" s="816" t="str">
        <f t="shared" si="2"/>
        <v>Lotz</v>
      </c>
      <c r="E66" s="816" t="str">
        <f t="shared" si="3"/>
        <v>Horst</v>
      </c>
      <c r="F66" s="819">
        <v>8309</v>
      </c>
      <c r="G66" s="819" t="s">
        <v>985</v>
      </c>
      <c r="H66" s="819"/>
      <c r="I66" s="819" t="s">
        <v>1149</v>
      </c>
      <c r="J66" s="819" t="s">
        <v>1150</v>
      </c>
      <c r="K66" s="819" t="s">
        <v>990</v>
      </c>
      <c r="L66" s="819" t="s">
        <v>991</v>
      </c>
      <c r="M66" s="876"/>
      <c r="N66" s="266"/>
      <c r="O66" s="277"/>
    </row>
    <row r="67" spans="1:15" ht="14">
      <c r="A67" s="30">
        <v>66</v>
      </c>
      <c r="B67" s="819" t="s">
        <v>54</v>
      </c>
      <c r="C67" s="819" t="s">
        <v>4</v>
      </c>
      <c r="D67" s="816" t="str">
        <f t="shared" si="2"/>
        <v>Meier</v>
      </c>
      <c r="E67" s="816" t="str">
        <f t="shared" si="3"/>
        <v>Peter</v>
      </c>
      <c r="F67" s="819">
        <v>8552</v>
      </c>
      <c r="G67" s="819" t="s">
        <v>191</v>
      </c>
      <c r="H67" s="819" t="s">
        <v>560</v>
      </c>
      <c r="I67" s="819" t="s">
        <v>561</v>
      </c>
      <c r="J67" s="819" t="s">
        <v>950</v>
      </c>
      <c r="K67" s="819" t="s">
        <v>1155</v>
      </c>
      <c r="L67" s="819" t="s">
        <v>970</v>
      </c>
      <c r="M67" s="876"/>
      <c r="N67" s="278"/>
      <c r="O67" s="277"/>
    </row>
    <row r="68" spans="1:15" ht="14">
      <c r="A68" s="30">
        <v>67</v>
      </c>
      <c r="B68" s="819" t="s">
        <v>590</v>
      </c>
      <c r="C68" s="819" t="s">
        <v>591</v>
      </c>
      <c r="D68" s="816" t="str">
        <f t="shared" si="2"/>
        <v>Meierhofer</v>
      </c>
      <c r="E68" s="816" t="str">
        <f t="shared" si="3"/>
        <v>Robert</v>
      </c>
      <c r="F68" s="819">
        <v>8645</v>
      </c>
      <c r="G68" s="819" t="s">
        <v>20</v>
      </c>
      <c r="H68" s="819"/>
      <c r="I68" s="819" t="s">
        <v>592</v>
      </c>
      <c r="J68" s="819"/>
      <c r="K68" s="819" t="s">
        <v>295</v>
      </c>
      <c r="L68" s="819" t="s">
        <v>607</v>
      </c>
      <c r="M68" s="876"/>
      <c r="N68" s="278"/>
      <c r="O68" s="61"/>
    </row>
    <row r="69" spans="1:15" ht="14">
      <c r="A69" s="30">
        <v>68</v>
      </c>
      <c r="B69" s="819" t="s">
        <v>60</v>
      </c>
      <c r="C69" s="819" t="s">
        <v>387</v>
      </c>
      <c r="D69" s="816" t="str">
        <f t="shared" si="2"/>
        <v>Müller</v>
      </c>
      <c r="E69" s="816" t="str">
        <f t="shared" si="3"/>
        <v>Nadia</v>
      </c>
      <c r="F69" s="819">
        <v>5013</v>
      </c>
      <c r="G69" s="819" t="s">
        <v>211</v>
      </c>
      <c r="H69" s="819" t="s">
        <v>562</v>
      </c>
      <c r="I69" s="819" t="s">
        <v>563</v>
      </c>
      <c r="J69" s="819"/>
      <c r="K69" s="819" t="s">
        <v>312</v>
      </c>
      <c r="L69" s="819" t="s">
        <v>388</v>
      </c>
      <c r="M69" s="876"/>
      <c r="N69" s="266"/>
      <c r="O69" s="277"/>
    </row>
    <row r="70" spans="1:15" ht="14">
      <c r="A70" s="30">
        <v>69</v>
      </c>
      <c r="B70" s="819" t="s">
        <v>593</v>
      </c>
      <c r="C70" s="819" t="s">
        <v>594</v>
      </c>
      <c r="D70" s="816" t="str">
        <f t="shared" si="2"/>
        <v>Omlin</v>
      </c>
      <c r="E70" s="816" t="str">
        <f t="shared" si="3"/>
        <v>Mischa</v>
      </c>
      <c r="F70" s="819">
        <v>6353</v>
      </c>
      <c r="G70" s="819" t="s">
        <v>595</v>
      </c>
      <c r="H70" s="819"/>
      <c r="I70" s="819" t="s">
        <v>951</v>
      </c>
      <c r="J70" s="819"/>
      <c r="K70" s="819" t="s">
        <v>582</v>
      </c>
      <c r="L70" s="819" t="s">
        <v>608</v>
      </c>
      <c r="M70" s="876"/>
      <c r="N70" s="278"/>
      <c r="O70" s="277"/>
    </row>
    <row r="71" spans="1:15" ht="14">
      <c r="A71" s="30">
        <v>70</v>
      </c>
      <c r="B71" s="819" t="s">
        <v>213</v>
      </c>
      <c r="C71" s="819" t="s">
        <v>214</v>
      </c>
      <c r="D71" s="816" t="str">
        <f t="shared" si="2"/>
        <v>Pacifico</v>
      </c>
      <c r="E71" s="816" t="str">
        <f t="shared" si="3"/>
        <v>Fabio</v>
      </c>
      <c r="F71" s="819">
        <v>6340</v>
      </c>
      <c r="G71" s="819" t="s">
        <v>952</v>
      </c>
      <c r="H71" s="819" t="s">
        <v>567</v>
      </c>
      <c r="I71" s="819" t="s">
        <v>951</v>
      </c>
      <c r="J71" s="819"/>
      <c r="K71" s="819" t="s">
        <v>210</v>
      </c>
      <c r="L71" s="819" t="s">
        <v>215</v>
      </c>
      <c r="M71" s="876"/>
      <c r="N71" s="278"/>
      <c r="O71" s="61"/>
    </row>
    <row r="72" spans="1:15" ht="14">
      <c r="A72" s="30">
        <v>71</v>
      </c>
      <c r="B72" s="819" t="s">
        <v>192</v>
      </c>
      <c r="C72" s="819" t="s">
        <v>173</v>
      </c>
      <c r="D72" s="816" t="str">
        <f t="shared" si="2"/>
        <v>Raschle</v>
      </c>
      <c r="E72" s="816" t="str">
        <f t="shared" si="3"/>
        <v>Thomas</v>
      </c>
      <c r="F72" s="819">
        <v>9215</v>
      </c>
      <c r="G72" s="819" t="s">
        <v>193</v>
      </c>
      <c r="H72" s="819" t="s">
        <v>568</v>
      </c>
      <c r="I72" s="819" t="s">
        <v>569</v>
      </c>
      <c r="J72" s="819" t="s">
        <v>570</v>
      </c>
      <c r="K72" s="819" t="s">
        <v>194</v>
      </c>
      <c r="L72" s="819" t="s">
        <v>195</v>
      </c>
      <c r="M72" s="876"/>
      <c r="N72" s="278"/>
      <c r="O72" s="277"/>
    </row>
    <row r="73" spans="1:15" ht="14">
      <c r="A73" s="30">
        <v>72</v>
      </c>
      <c r="B73" s="819" t="s">
        <v>276</v>
      </c>
      <c r="C73" s="819" t="s">
        <v>48</v>
      </c>
      <c r="D73" s="816" t="str">
        <f t="shared" si="2"/>
        <v>Rölli</v>
      </c>
      <c r="E73" s="816" t="str">
        <f t="shared" si="3"/>
        <v>Bruno</v>
      </c>
      <c r="F73" s="819">
        <v>4600</v>
      </c>
      <c r="G73" s="819" t="s">
        <v>77</v>
      </c>
      <c r="H73" s="819" t="s">
        <v>571</v>
      </c>
      <c r="I73" s="819" t="s">
        <v>572</v>
      </c>
      <c r="J73" s="819"/>
      <c r="K73" s="819" t="s">
        <v>53</v>
      </c>
      <c r="L73" s="819" t="s">
        <v>585</v>
      </c>
      <c r="M73" s="876"/>
      <c r="N73" s="266"/>
      <c r="O73" s="277"/>
    </row>
    <row r="74" spans="1:15" ht="14">
      <c r="A74" s="30">
        <v>73</v>
      </c>
      <c r="B74" s="819" t="s">
        <v>681</v>
      </c>
      <c r="C74" s="819" t="s">
        <v>682</v>
      </c>
      <c r="D74" s="816" t="str">
        <f t="shared" si="2"/>
        <v>Shabanaj</v>
      </c>
      <c r="E74" s="816" t="str">
        <f t="shared" si="3"/>
        <v>Valon</v>
      </c>
      <c r="F74" s="819">
        <v>6260</v>
      </c>
      <c r="G74" s="819" t="s">
        <v>225</v>
      </c>
      <c r="H74" s="819"/>
      <c r="I74" s="819" t="s">
        <v>953</v>
      </c>
      <c r="J74" s="819"/>
      <c r="K74" s="819" t="s">
        <v>904</v>
      </c>
      <c r="L74" s="819" t="s">
        <v>678</v>
      </c>
      <c r="M74" s="876"/>
      <c r="N74" s="278"/>
      <c r="O74" s="277"/>
    </row>
    <row r="75" spans="1:15" ht="14">
      <c r="A75" s="30">
        <v>74</v>
      </c>
      <c r="B75" s="819" t="s">
        <v>224</v>
      </c>
      <c r="C75" s="819" t="s">
        <v>43</v>
      </c>
      <c r="D75" s="816" t="str">
        <f t="shared" si="2"/>
        <v>Stanger</v>
      </c>
      <c r="E75" s="816" t="str">
        <f t="shared" si="3"/>
        <v>Marc</v>
      </c>
      <c r="F75" s="819">
        <v>6252</v>
      </c>
      <c r="G75" s="819" t="s">
        <v>1146</v>
      </c>
      <c r="H75" s="819"/>
      <c r="I75" s="819" t="s">
        <v>574</v>
      </c>
      <c r="J75" s="819"/>
      <c r="K75" s="819" t="s">
        <v>226</v>
      </c>
      <c r="L75" s="819" t="s">
        <v>227</v>
      </c>
      <c r="M75" s="876"/>
      <c r="N75" s="266"/>
      <c r="O75" s="277"/>
    </row>
    <row r="76" spans="1:15" ht="14">
      <c r="A76" s="30">
        <v>75</v>
      </c>
      <c r="B76" s="819" t="s">
        <v>936</v>
      </c>
      <c r="C76" s="819" t="s">
        <v>937</v>
      </c>
      <c r="D76" s="816" t="str">
        <f t="shared" si="2"/>
        <v>Strassmann</v>
      </c>
      <c r="E76" s="816" t="str">
        <f t="shared" si="3"/>
        <v>Rico</v>
      </c>
      <c r="F76" s="819">
        <v>8400</v>
      </c>
      <c r="G76" s="819" t="s">
        <v>228</v>
      </c>
      <c r="H76" s="819"/>
      <c r="I76" s="819" t="s">
        <v>954</v>
      </c>
      <c r="J76" s="819"/>
      <c r="K76" s="819" t="s">
        <v>963</v>
      </c>
      <c r="L76" s="819" t="s">
        <v>971</v>
      </c>
      <c r="M76" s="876"/>
      <c r="N76" s="278"/>
      <c r="O76" s="277"/>
    </row>
    <row r="77" spans="1:15" ht="14">
      <c r="A77" s="30">
        <v>76</v>
      </c>
      <c r="B77" s="819" t="s">
        <v>983</v>
      </c>
      <c r="C77" s="819" t="s">
        <v>402</v>
      </c>
      <c r="D77" s="816" t="str">
        <f t="shared" si="2"/>
        <v>Werder</v>
      </c>
      <c r="E77" s="816" t="str">
        <f t="shared" si="3"/>
        <v>Manuel</v>
      </c>
      <c r="F77" s="819">
        <v>8471</v>
      </c>
      <c r="G77" s="819" t="s">
        <v>404</v>
      </c>
      <c r="H77" s="819"/>
      <c r="I77" s="819" t="s">
        <v>1151</v>
      </c>
      <c r="J77" s="819"/>
      <c r="K77" s="819" t="s">
        <v>993</v>
      </c>
      <c r="L77" s="819" t="s">
        <v>406</v>
      </c>
      <c r="M77" s="876"/>
      <c r="N77" s="278"/>
      <c r="O77" s="277"/>
    </row>
    <row r="78" spans="1:15" ht="14">
      <c r="A78" s="30">
        <v>77</v>
      </c>
      <c r="B78" s="819" t="s">
        <v>308</v>
      </c>
      <c r="C78" s="819" t="s">
        <v>251</v>
      </c>
      <c r="D78" s="816" t="str">
        <f t="shared" si="2"/>
        <v>Wirth</v>
      </c>
      <c r="E78" s="816" t="str">
        <f t="shared" si="3"/>
        <v>Lukas</v>
      </c>
      <c r="F78" s="819">
        <v>9452</v>
      </c>
      <c r="G78" s="819" t="s">
        <v>957</v>
      </c>
      <c r="H78" s="819"/>
      <c r="I78" s="819" t="s">
        <v>576</v>
      </c>
      <c r="J78" s="819"/>
      <c r="K78" s="819" t="s">
        <v>298</v>
      </c>
      <c r="L78" s="819" t="s">
        <v>314</v>
      </c>
      <c r="M78" s="876"/>
      <c r="N78" s="278"/>
      <c r="O78" s="61"/>
    </row>
    <row r="79" spans="1:15" ht="14">
      <c r="A79" s="30">
        <v>78</v>
      </c>
      <c r="B79" s="819" t="s">
        <v>938</v>
      </c>
      <c r="C79" s="819" t="s">
        <v>14</v>
      </c>
      <c r="D79" s="816" t="str">
        <f t="shared" si="2"/>
        <v>Wyss</v>
      </c>
      <c r="E79" s="816" t="str">
        <f t="shared" si="3"/>
        <v>Pascal</v>
      </c>
      <c r="F79" s="819">
        <v>8603</v>
      </c>
      <c r="G79" s="819" t="s">
        <v>958</v>
      </c>
      <c r="H79" s="819"/>
      <c r="I79" s="819" t="s">
        <v>959</v>
      </c>
      <c r="J79" s="819"/>
      <c r="K79" s="819" t="s">
        <v>87</v>
      </c>
      <c r="L79" s="819" t="s">
        <v>973</v>
      </c>
      <c r="M79" s="876"/>
      <c r="N79" s="278"/>
      <c r="O79" s="277"/>
    </row>
    <row r="80" spans="1:15" ht="14.5" thickBot="1">
      <c r="A80" s="30">
        <v>79</v>
      </c>
      <c r="B80" s="819" t="s">
        <v>88</v>
      </c>
      <c r="C80" s="819" t="s">
        <v>31</v>
      </c>
      <c r="D80" s="816" t="str">
        <f t="shared" si="2"/>
        <v>Ziereisen</v>
      </c>
      <c r="E80" s="816" t="str">
        <f t="shared" si="3"/>
        <v>Daniel</v>
      </c>
      <c r="F80" s="819">
        <v>8523</v>
      </c>
      <c r="G80" s="819" t="s">
        <v>89</v>
      </c>
      <c r="H80" s="819" t="s">
        <v>577</v>
      </c>
      <c r="I80" s="819" t="s">
        <v>578</v>
      </c>
      <c r="J80" s="819" t="s">
        <v>579</v>
      </c>
      <c r="K80" s="819" t="s">
        <v>1156</v>
      </c>
      <c r="L80" s="819" t="s">
        <v>205</v>
      </c>
      <c r="M80" s="876"/>
      <c r="N80" s="266"/>
      <c r="O80" s="277"/>
    </row>
    <row r="81" spans="1:15" ht="14">
      <c r="A81" s="30">
        <v>80</v>
      </c>
      <c r="B81" s="820" t="s">
        <v>975</v>
      </c>
      <c r="C81" s="820" t="s">
        <v>976</v>
      </c>
      <c r="D81" s="816" t="str">
        <f t="shared" si="2"/>
        <v>Bächler</v>
      </c>
      <c r="E81" s="816" t="str">
        <f t="shared" si="3"/>
        <v>Florian</v>
      </c>
      <c r="F81" s="820">
        <v>8592</v>
      </c>
      <c r="G81" s="820" t="s">
        <v>1196</v>
      </c>
      <c r="H81" s="820"/>
      <c r="I81" s="820" t="s">
        <v>1203</v>
      </c>
      <c r="J81" s="820"/>
      <c r="K81" s="820" t="s">
        <v>986</v>
      </c>
      <c r="L81" s="821" t="s">
        <v>987</v>
      </c>
      <c r="M81" s="867" t="s">
        <v>1273</v>
      </c>
      <c r="N81" s="266"/>
      <c r="O81" s="277"/>
    </row>
    <row r="82" spans="1:15" ht="14">
      <c r="A82" s="30">
        <v>81</v>
      </c>
      <c r="B82" s="820" t="s">
        <v>1157</v>
      </c>
      <c r="C82" s="820" t="s">
        <v>1158</v>
      </c>
      <c r="D82" s="816" t="str">
        <f t="shared" ref="D82:D127" si="4">B82</f>
        <v>Barth</v>
      </c>
      <c r="E82" s="816" t="str">
        <f t="shared" ref="E82:E127" si="5">C82</f>
        <v>Mathis</v>
      </c>
      <c r="F82" s="820">
        <v>8353</v>
      </c>
      <c r="G82" s="820" t="s">
        <v>874</v>
      </c>
      <c r="H82" s="820"/>
      <c r="I82" s="820" t="s">
        <v>1204</v>
      </c>
      <c r="J82" s="820"/>
      <c r="K82" s="820" t="s">
        <v>961</v>
      </c>
      <c r="L82" s="821" t="s">
        <v>1245</v>
      </c>
      <c r="M82" s="868"/>
      <c r="N82" s="266"/>
      <c r="O82" s="277"/>
    </row>
    <row r="83" spans="1:15" ht="14">
      <c r="A83" s="30">
        <v>82</v>
      </c>
      <c r="B83" s="820" t="s">
        <v>1157</v>
      </c>
      <c r="C83" s="820" t="s">
        <v>1159</v>
      </c>
      <c r="D83" s="816" t="str">
        <f t="shared" si="4"/>
        <v>Barth</v>
      </c>
      <c r="E83" s="816" t="str">
        <f t="shared" si="5"/>
        <v>Timo</v>
      </c>
      <c r="F83" s="820">
        <v>8400</v>
      </c>
      <c r="G83" s="820" t="s">
        <v>228</v>
      </c>
      <c r="H83" s="820"/>
      <c r="I83" s="820" t="s">
        <v>1205</v>
      </c>
      <c r="J83" s="820"/>
      <c r="K83" s="820" t="s">
        <v>961</v>
      </c>
      <c r="L83" s="821" t="s">
        <v>1246</v>
      </c>
      <c r="M83" s="868"/>
      <c r="N83" s="266"/>
      <c r="O83" s="277"/>
    </row>
    <row r="84" spans="1:15" ht="14">
      <c r="A84" s="30">
        <v>83</v>
      </c>
      <c r="B84" s="820" t="s">
        <v>1160</v>
      </c>
      <c r="C84" s="820" t="s">
        <v>1161</v>
      </c>
      <c r="D84" s="816" t="str">
        <f t="shared" si="4"/>
        <v>Baumberger</v>
      </c>
      <c r="E84" s="816" t="str">
        <f t="shared" si="5"/>
        <v>Evi</v>
      </c>
      <c r="F84" s="820">
        <v>3425</v>
      </c>
      <c r="G84" s="820" t="s">
        <v>1197</v>
      </c>
      <c r="H84" s="820" t="s">
        <v>1206</v>
      </c>
      <c r="I84" s="820" t="s">
        <v>1207</v>
      </c>
      <c r="J84" s="820"/>
      <c r="K84" s="820" t="s">
        <v>925</v>
      </c>
      <c r="L84" s="821" t="s">
        <v>1247</v>
      </c>
      <c r="M84" s="868"/>
      <c r="N84" s="266"/>
      <c r="O84" s="277"/>
    </row>
    <row r="85" spans="1:15" ht="14">
      <c r="A85" s="30">
        <v>84</v>
      </c>
      <c r="B85" s="820" t="s">
        <v>1162</v>
      </c>
      <c r="C85" s="820" t="s">
        <v>31</v>
      </c>
      <c r="D85" s="816" t="str">
        <f t="shared" si="4"/>
        <v>Baumgartner</v>
      </c>
      <c r="E85" s="816" t="str">
        <f t="shared" si="5"/>
        <v>Daniel</v>
      </c>
      <c r="F85" s="820">
        <v>8505</v>
      </c>
      <c r="G85" s="820" t="s">
        <v>1198</v>
      </c>
      <c r="H85" s="820"/>
      <c r="I85" s="820" t="s">
        <v>1208</v>
      </c>
      <c r="J85" s="820"/>
      <c r="K85" s="820" t="s">
        <v>1239</v>
      </c>
      <c r="L85" s="821" t="s">
        <v>1248</v>
      </c>
      <c r="M85" s="868"/>
      <c r="N85" s="266"/>
      <c r="O85" s="277"/>
    </row>
    <row r="86" spans="1:15" ht="14">
      <c r="A86" s="30">
        <v>85</v>
      </c>
      <c r="B86" s="820" t="s">
        <v>1162</v>
      </c>
      <c r="C86" s="820" t="s">
        <v>444</v>
      </c>
      <c r="D86" s="816" t="str">
        <f t="shared" si="4"/>
        <v>Baumgartner</v>
      </c>
      <c r="E86" s="816" t="str">
        <f t="shared" si="5"/>
        <v>Tobias</v>
      </c>
      <c r="F86" s="820">
        <v>8356</v>
      </c>
      <c r="G86" s="820" t="s">
        <v>347</v>
      </c>
      <c r="H86" s="820" t="s">
        <v>1209</v>
      </c>
      <c r="I86" s="820" t="s">
        <v>1210</v>
      </c>
      <c r="J86" s="820"/>
      <c r="K86" s="820" t="s">
        <v>967</v>
      </c>
      <c r="L86" s="821" t="s">
        <v>1249</v>
      </c>
      <c r="M86" s="868"/>
      <c r="N86" s="266"/>
      <c r="O86" s="277"/>
    </row>
    <row r="87" spans="1:15" ht="14">
      <c r="A87" s="30">
        <v>86</v>
      </c>
      <c r="B87" s="820" t="s">
        <v>375</v>
      </c>
      <c r="C87" s="820" t="s">
        <v>367</v>
      </c>
      <c r="D87" s="816" t="str">
        <f t="shared" si="4"/>
        <v>Berger</v>
      </c>
      <c r="E87" s="816" t="str">
        <f t="shared" si="5"/>
        <v>David</v>
      </c>
      <c r="F87" s="820">
        <v>8556</v>
      </c>
      <c r="G87" s="820" t="s">
        <v>413</v>
      </c>
      <c r="H87" s="820"/>
      <c r="I87" s="820" t="s">
        <v>1211</v>
      </c>
      <c r="J87" s="820"/>
      <c r="K87" s="820" t="s">
        <v>413</v>
      </c>
      <c r="L87" s="821" t="s">
        <v>450</v>
      </c>
      <c r="M87" s="868"/>
      <c r="N87" s="266"/>
      <c r="O87" s="277"/>
    </row>
    <row r="88" spans="1:15" ht="14">
      <c r="A88" s="30">
        <v>87</v>
      </c>
      <c r="B88" s="820" t="s">
        <v>994</v>
      </c>
      <c r="C88" s="820" t="s">
        <v>995</v>
      </c>
      <c r="D88" s="816" t="str">
        <f t="shared" si="4"/>
        <v>Blaser</v>
      </c>
      <c r="E88" s="816" t="str">
        <f t="shared" si="5"/>
        <v>Sandro</v>
      </c>
      <c r="F88" s="820">
        <v>3552</v>
      </c>
      <c r="G88" s="820" t="s">
        <v>997</v>
      </c>
      <c r="H88" s="820"/>
      <c r="I88" s="820" t="s">
        <v>998</v>
      </c>
      <c r="J88" s="820"/>
      <c r="K88" s="820" t="s">
        <v>1000</v>
      </c>
      <c r="L88" s="821" t="s">
        <v>1001</v>
      </c>
      <c r="M88" s="868"/>
      <c r="N88" s="266"/>
      <c r="O88" s="277"/>
    </row>
    <row r="89" spans="1:15" ht="14">
      <c r="A89" s="30">
        <v>88</v>
      </c>
      <c r="B89" s="820" t="s">
        <v>1163</v>
      </c>
      <c r="C89" s="820" t="s">
        <v>1164</v>
      </c>
      <c r="D89" s="816" t="str">
        <f t="shared" si="4"/>
        <v>Borath</v>
      </c>
      <c r="E89" s="816" t="str">
        <f t="shared" si="5"/>
        <v>Tanja</v>
      </c>
      <c r="F89" s="820">
        <v>8280</v>
      </c>
      <c r="G89" s="820" t="s">
        <v>1199</v>
      </c>
      <c r="H89" s="820"/>
      <c r="I89" s="820" t="s">
        <v>1212</v>
      </c>
      <c r="J89" s="820"/>
      <c r="K89" s="820" t="s">
        <v>1153</v>
      </c>
      <c r="L89" s="821" t="s">
        <v>1250</v>
      </c>
      <c r="M89" s="868"/>
      <c r="N89" s="266"/>
      <c r="O89" s="277"/>
    </row>
    <row r="90" spans="1:15" ht="14">
      <c r="A90" s="30">
        <v>89</v>
      </c>
      <c r="B90" s="820" t="s">
        <v>1165</v>
      </c>
      <c r="C90" s="820" t="s">
        <v>1166</v>
      </c>
      <c r="D90" s="816" t="str">
        <f t="shared" si="4"/>
        <v>Broccon</v>
      </c>
      <c r="E90" s="816" t="str">
        <f t="shared" si="5"/>
        <v>Fabrice</v>
      </c>
      <c r="F90" s="820">
        <v>8353</v>
      </c>
      <c r="G90" s="820" t="s">
        <v>874</v>
      </c>
      <c r="H90" s="820"/>
      <c r="I90" s="820" t="s">
        <v>1213</v>
      </c>
      <c r="J90" s="820"/>
      <c r="K90" s="820" t="s">
        <v>1240</v>
      </c>
      <c r="L90" s="821" t="s">
        <v>1251</v>
      </c>
      <c r="M90" s="868"/>
      <c r="N90" s="266"/>
      <c r="O90" s="277"/>
    </row>
    <row r="91" spans="1:15" ht="14">
      <c r="A91" s="30">
        <v>90</v>
      </c>
      <c r="B91" s="820" t="s">
        <v>1167</v>
      </c>
      <c r="C91" s="820" t="s">
        <v>1168</v>
      </c>
      <c r="D91" s="816" t="str">
        <f t="shared" si="4"/>
        <v>Clalüna</v>
      </c>
      <c r="E91" s="816" t="str">
        <f t="shared" si="5"/>
        <v>Andri</v>
      </c>
      <c r="F91" s="820">
        <v>4803</v>
      </c>
      <c r="G91" s="820" t="s">
        <v>466</v>
      </c>
      <c r="H91" s="820"/>
      <c r="I91" s="820" t="s">
        <v>1214</v>
      </c>
      <c r="J91" s="820"/>
      <c r="K91" s="820" t="s">
        <v>1241</v>
      </c>
      <c r="L91" s="821" t="s">
        <v>1252</v>
      </c>
      <c r="M91" s="868"/>
      <c r="N91" s="266"/>
      <c r="O91" s="277"/>
    </row>
    <row r="92" spans="1:15" ht="14">
      <c r="A92" s="30">
        <v>91</v>
      </c>
      <c r="B92" s="820" t="s">
        <v>1169</v>
      </c>
      <c r="C92" s="820" t="s">
        <v>1170</v>
      </c>
      <c r="D92" s="816" t="str">
        <f t="shared" si="4"/>
        <v>Flückiger</v>
      </c>
      <c r="E92" s="816" t="str">
        <f t="shared" si="5"/>
        <v>Luca</v>
      </c>
      <c r="F92" s="820">
        <v>4803</v>
      </c>
      <c r="G92" s="820" t="s">
        <v>466</v>
      </c>
      <c r="H92" s="820"/>
      <c r="I92" s="820" t="s">
        <v>1215</v>
      </c>
      <c r="J92" s="820"/>
      <c r="K92" s="820" t="s">
        <v>1241</v>
      </c>
      <c r="L92" s="821" t="s">
        <v>1253</v>
      </c>
      <c r="M92" s="868"/>
      <c r="N92" s="266"/>
      <c r="O92" s="277"/>
    </row>
    <row r="93" spans="1:15" ht="14">
      <c r="A93" s="30">
        <v>92</v>
      </c>
      <c r="B93" s="820" t="s">
        <v>1171</v>
      </c>
      <c r="C93" s="820" t="s">
        <v>18</v>
      </c>
      <c r="D93" s="816" t="str">
        <f t="shared" si="4"/>
        <v>Hänni</v>
      </c>
      <c r="E93" s="816" t="str">
        <f t="shared" si="5"/>
        <v>Michael</v>
      </c>
      <c r="F93" s="820">
        <v>4623</v>
      </c>
      <c r="G93" s="820" t="s">
        <v>363</v>
      </c>
      <c r="H93" s="820"/>
      <c r="I93" s="820" t="s">
        <v>1216</v>
      </c>
      <c r="J93" s="820"/>
      <c r="K93" s="820" t="s">
        <v>174</v>
      </c>
      <c r="L93" s="821" t="s">
        <v>1254</v>
      </c>
      <c r="M93" s="868"/>
      <c r="N93" s="266"/>
      <c r="O93" s="277"/>
    </row>
    <row r="94" spans="1:15" ht="14">
      <c r="A94" s="30">
        <v>93</v>
      </c>
      <c r="B94" s="820" t="s">
        <v>1172</v>
      </c>
      <c r="C94" s="820" t="s">
        <v>1173</v>
      </c>
      <c r="D94" s="816" t="str">
        <f t="shared" si="4"/>
        <v>Heitz</v>
      </c>
      <c r="E94" s="816" t="str">
        <f t="shared" si="5"/>
        <v>Leon</v>
      </c>
      <c r="F94" s="820">
        <v>8353</v>
      </c>
      <c r="G94" s="820" t="s">
        <v>874</v>
      </c>
      <c r="H94" s="820"/>
      <c r="I94" s="820" t="s">
        <v>1217</v>
      </c>
      <c r="J94" s="820"/>
      <c r="K94" s="820" t="s">
        <v>961</v>
      </c>
      <c r="L94" s="821" t="s">
        <v>1255</v>
      </c>
      <c r="M94" s="868"/>
      <c r="N94" s="278"/>
      <c r="O94" s="277"/>
    </row>
    <row r="95" spans="1:15" ht="14">
      <c r="A95" s="30">
        <v>94</v>
      </c>
      <c r="B95" s="820" t="s">
        <v>1174</v>
      </c>
      <c r="C95" s="820" t="s">
        <v>1175</v>
      </c>
      <c r="D95" s="816" t="str">
        <f t="shared" si="4"/>
        <v>Hirsiger</v>
      </c>
      <c r="E95" s="816" t="str">
        <f t="shared" si="5"/>
        <v>Kevin</v>
      </c>
      <c r="F95" s="820">
        <v>4803</v>
      </c>
      <c r="G95" s="820" t="s">
        <v>466</v>
      </c>
      <c r="H95" s="820"/>
      <c r="I95" s="820" t="s">
        <v>1218</v>
      </c>
      <c r="J95" s="820"/>
      <c r="K95" s="820" t="s">
        <v>1241</v>
      </c>
      <c r="L95" s="821" t="s">
        <v>1256</v>
      </c>
      <c r="M95" s="868"/>
      <c r="N95" s="278"/>
      <c r="O95" s="277"/>
    </row>
    <row r="96" spans="1:15" ht="14">
      <c r="A96" s="30">
        <v>95</v>
      </c>
      <c r="B96" s="820" t="s">
        <v>70</v>
      </c>
      <c r="C96" s="820" t="s">
        <v>1170</v>
      </c>
      <c r="D96" s="816" t="str">
        <f t="shared" si="4"/>
        <v>Hochuli</v>
      </c>
      <c r="E96" s="816" t="str">
        <f t="shared" si="5"/>
        <v>Luca</v>
      </c>
      <c r="F96" s="820">
        <v>5046</v>
      </c>
      <c r="G96" s="820" t="s">
        <v>27</v>
      </c>
      <c r="H96" s="820" t="s">
        <v>1219</v>
      </c>
      <c r="I96" s="851" t="s">
        <v>1220</v>
      </c>
      <c r="J96" s="820"/>
      <c r="K96" s="820" t="s">
        <v>71</v>
      </c>
      <c r="L96" s="821" t="s">
        <v>1257</v>
      </c>
      <c r="M96" s="868"/>
      <c r="N96" s="278"/>
      <c r="O96" s="277"/>
    </row>
    <row r="97" spans="1:15" ht="14">
      <c r="A97" s="30">
        <v>96</v>
      </c>
      <c r="B97" s="820" t="s">
        <v>1176</v>
      </c>
      <c r="C97" s="820" t="s">
        <v>1177</v>
      </c>
      <c r="D97" s="816" t="str">
        <f t="shared" si="4"/>
        <v>Isliker</v>
      </c>
      <c r="E97" s="816" t="str">
        <f t="shared" si="5"/>
        <v>Nils</v>
      </c>
      <c r="F97" s="820">
        <v>8353</v>
      </c>
      <c r="G97" s="820" t="s">
        <v>874</v>
      </c>
      <c r="H97" s="820"/>
      <c r="I97" s="820" t="s">
        <v>1221</v>
      </c>
      <c r="J97" s="820"/>
      <c r="K97" s="820" t="s">
        <v>961</v>
      </c>
      <c r="L97" s="821" t="s">
        <v>1258</v>
      </c>
      <c r="M97" s="868"/>
      <c r="N97" s="278"/>
      <c r="O97" s="277"/>
    </row>
    <row r="98" spans="1:15" ht="14">
      <c r="A98" s="30">
        <v>97</v>
      </c>
      <c r="B98" s="820" t="s">
        <v>1178</v>
      </c>
      <c r="C98" s="820" t="s">
        <v>1179</v>
      </c>
      <c r="D98" s="816" t="str">
        <f t="shared" si="4"/>
        <v>Kammer</v>
      </c>
      <c r="E98" s="816" t="str">
        <f t="shared" si="5"/>
        <v>Sebastian</v>
      </c>
      <c r="F98" s="820">
        <v>8645</v>
      </c>
      <c r="G98" s="820" t="s">
        <v>20</v>
      </c>
      <c r="H98" s="820"/>
      <c r="I98" s="820" t="s">
        <v>1222</v>
      </c>
      <c r="J98" s="820"/>
      <c r="K98" s="820" t="s">
        <v>295</v>
      </c>
      <c r="L98" s="821" t="s">
        <v>1259</v>
      </c>
      <c r="M98" s="868"/>
      <c r="N98" s="278"/>
      <c r="O98" s="52"/>
    </row>
    <row r="99" spans="1:15" ht="14">
      <c r="A99" s="30">
        <v>98</v>
      </c>
      <c r="B99" s="820" t="s">
        <v>935</v>
      </c>
      <c r="C99" s="820" t="s">
        <v>1180</v>
      </c>
      <c r="D99" s="816" t="str">
        <f t="shared" si="4"/>
        <v>Kupper</v>
      </c>
      <c r="E99" s="816" t="str">
        <f t="shared" si="5"/>
        <v>Alina</v>
      </c>
      <c r="F99" s="820">
        <v>8353</v>
      </c>
      <c r="G99" s="820" t="s">
        <v>874</v>
      </c>
      <c r="H99" s="820"/>
      <c r="I99" s="820" t="s">
        <v>1223</v>
      </c>
      <c r="J99" s="820"/>
      <c r="K99" s="820" t="s">
        <v>961</v>
      </c>
      <c r="L99" s="821" t="s">
        <v>1260</v>
      </c>
      <c r="M99" s="868"/>
      <c r="N99" s="266"/>
      <c r="O99" s="277"/>
    </row>
    <row r="100" spans="1:15" ht="14">
      <c r="A100" s="30">
        <v>99</v>
      </c>
      <c r="B100" s="820" t="s">
        <v>1071</v>
      </c>
      <c r="C100" s="820" t="s">
        <v>1181</v>
      </c>
      <c r="D100" s="816" t="str">
        <f t="shared" si="4"/>
        <v>Lang</v>
      </c>
      <c r="E100" s="816" t="str">
        <f t="shared" si="5"/>
        <v>Adela</v>
      </c>
      <c r="F100" s="820">
        <v>8353</v>
      </c>
      <c r="G100" s="820" t="s">
        <v>874</v>
      </c>
      <c r="H100" s="820"/>
      <c r="I100" s="820" t="s">
        <v>1224</v>
      </c>
      <c r="J100" s="820"/>
      <c r="K100" s="820" t="s">
        <v>961</v>
      </c>
      <c r="L100" s="821" t="s">
        <v>1261</v>
      </c>
      <c r="M100" s="868"/>
      <c r="N100" s="278"/>
      <c r="O100" s="277"/>
    </row>
    <row r="101" spans="1:15" ht="14">
      <c r="A101" s="30">
        <v>100</v>
      </c>
      <c r="B101" s="820" t="s">
        <v>506</v>
      </c>
      <c r="C101" s="820" t="s">
        <v>1089</v>
      </c>
      <c r="D101" s="816" t="str">
        <f t="shared" si="4"/>
        <v>Lenz</v>
      </c>
      <c r="E101" s="816" t="str">
        <f t="shared" si="5"/>
        <v>Jonas</v>
      </c>
      <c r="F101" s="820">
        <v>6858</v>
      </c>
      <c r="G101" s="820" t="s">
        <v>508</v>
      </c>
      <c r="H101" s="820"/>
      <c r="I101" s="820" t="s">
        <v>1225</v>
      </c>
      <c r="J101" s="820"/>
      <c r="K101" s="820" t="s">
        <v>974</v>
      </c>
      <c r="L101" s="821" t="s">
        <v>1262</v>
      </c>
      <c r="M101" s="868"/>
      <c r="N101" s="266"/>
      <c r="O101" s="277"/>
    </row>
    <row r="102" spans="1:15" ht="14">
      <c r="A102" s="30">
        <v>101</v>
      </c>
      <c r="B102" s="820" t="s">
        <v>62</v>
      </c>
      <c r="C102" s="820" t="s">
        <v>1182</v>
      </c>
      <c r="D102" s="816" t="str">
        <f t="shared" si="4"/>
        <v>Martin</v>
      </c>
      <c r="E102" s="816" t="str">
        <f t="shared" si="5"/>
        <v>Lino</v>
      </c>
      <c r="F102" s="820">
        <v>8404</v>
      </c>
      <c r="G102" s="820" t="s">
        <v>228</v>
      </c>
      <c r="H102" s="820" t="s">
        <v>1226</v>
      </c>
      <c r="I102" s="820" t="s">
        <v>1227</v>
      </c>
      <c r="J102" s="820"/>
      <c r="K102" s="820" t="s">
        <v>1242</v>
      </c>
      <c r="L102" s="821" t="s">
        <v>1263</v>
      </c>
      <c r="M102" s="868"/>
      <c r="N102" s="278"/>
      <c r="O102" s="277"/>
    </row>
    <row r="103" spans="1:15" ht="14">
      <c r="A103" s="30">
        <v>102</v>
      </c>
      <c r="B103" s="820" t="s">
        <v>54</v>
      </c>
      <c r="C103" s="820" t="s">
        <v>18</v>
      </c>
      <c r="D103" s="816" t="str">
        <f t="shared" si="4"/>
        <v>Meier</v>
      </c>
      <c r="E103" s="816" t="str">
        <f t="shared" si="5"/>
        <v>Michael</v>
      </c>
      <c r="F103" s="820">
        <v>8404</v>
      </c>
      <c r="G103" s="820" t="s">
        <v>228</v>
      </c>
      <c r="H103" s="820"/>
      <c r="I103" s="820" t="s">
        <v>1228</v>
      </c>
      <c r="J103" s="820"/>
      <c r="K103" s="820" t="s">
        <v>1242</v>
      </c>
      <c r="L103" s="821" t="s">
        <v>1264</v>
      </c>
      <c r="M103" s="868"/>
      <c r="N103" s="278"/>
      <c r="O103" s="277"/>
    </row>
    <row r="104" spans="1:15" ht="14">
      <c r="A104" s="30">
        <v>103</v>
      </c>
      <c r="B104" s="820" t="s">
        <v>1183</v>
      </c>
      <c r="C104" s="820" t="s">
        <v>1184</v>
      </c>
      <c r="D104" s="816" t="str">
        <f t="shared" si="4"/>
        <v>Meissner</v>
      </c>
      <c r="E104" s="816" t="str">
        <f t="shared" si="5"/>
        <v>Malte</v>
      </c>
      <c r="F104" s="820">
        <v>8356</v>
      </c>
      <c r="G104" s="820" t="s">
        <v>347</v>
      </c>
      <c r="H104" s="820"/>
      <c r="I104" s="820" t="s">
        <v>1229</v>
      </c>
      <c r="J104" s="820"/>
      <c r="K104" s="820" t="s">
        <v>967</v>
      </c>
      <c r="L104" s="821" t="s">
        <v>1265</v>
      </c>
      <c r="M104" s="868"/>
      <c r="N104" s="278"/>
      <c r="O104" s="61"/>
    </row>
    <row r="105" spans="1:15" ht="14">
      <c r="A105" s="30">
        <v>104</v>
      </c>
      <c r="B105" s="820" t="s">
        <v>1185</v>
      </c>
      <c r="C105" s="820" t="s">
        <v>1186</v>
      </c>
      <c r="D105" s="816" t="str">
        <f t="shared" si="4"/>
        <v>Menz</v>
      </c>
      <c r="E105" s="816" t="str">
        <f t="shared" si="5"/>
        <v>Moritz</v>
      </c>
      <c r="F105" s="820">
        <v>8406</v>
      </c>
      <c r="G105" s="820" t="s">
        <v>228</v>
      </c>
      <c r="H105" s="820"/>
      <c r="I105" s="820" t="s">
        <v>1230</v>
      </c>
      <c r="J105" s="820"/>
      <c r="K105" s="820" t="s">
        <v>961</v>
      </c>
      <c r="L105" s="821" t="s">
        <v>1266</v>
      </c>
      <c r="M105" s="868"/>
      <c r="N105" s="266"/>
      <c r="O105" s="61"/>
    </row>
    <row r="106" spans="1:15" ht="14">
      <c r="A106" s="30">
        <v>105</v>
      </c>
      <c r="B106" s="820" t="s">
        <v>1187</v>
      </c>
      <c r="C106" s="820" t="s">
        <v>1188</v>
      </c>
      <c r="D106" s="816" t="str">
        <f t="shared" si="4"/>
        <v>Morgentahler</v>
      </c>
      <c r="E106" s="816" t="str">
        <f t="shared" si="5"/>
        <v>Brian</v>
      </c>
      <c r="F106" s="820">
        <v>5053</v>
      </c>
      <c r="G106" s="820" t="s">
        <v>1200</v>
      </c>
      <c r="H106" s="820"/>
      <c r="I106" s="820" t="s">
        <v>1231</v>
      </c>
      <c r="J106" s="820"/>
      <c r="K106" s="820" t="s">
        <v>184</v>
      </c>
      <c r="L106" s="821" t="s">
        <v>1267</v>
      </c>
      <c r="M106" s="868"/>
      <c r="N106" s="278"/>
      <c r="O106" s="277"/>
    </row>
    <row r="107" spans="1:15" ht="14">
      <c r="A107" s="30">
        <v>106</v>
      </c>
      <c r="B107" s="820" t="s">
        <v>1189</v>
      </c>
      <c r="C107" s="820" t="s">
        <v>1190</v>
      </c>
      <c r="D107" s="816" t="str">
        <f t="shared" si="4"/>
        <v>Schär</v>
      </c>
      <c r="E107" s="816" t="str">
        <f t="shared" si="5"/>
        <v>Loris</v>
      </c>
      <c r="F107" s="820">
        <v>8406</v>
      </c>
      <c r="G107" s="820" t="s">
        <v>228</v>
      </c>
      <c r="H107" s="820"/>
      <c r="I107" s="820" t="s">
        <v>1232</v>
      </c>
      <c r="J107" s="820"/>
      <c r="K107" s="820" t="s">
        <v>961</v>
      </c>
      <c r="L107" s="821" t="s">
        <v>1268</v>
      </c>
      <c r="M107" s="868"/>
      <c r="N107" s="266"/>
      <c r="O107" s="61"/>
    </row>
    <row r="108" spans="1:15" ht="14">
      <c r="A108" s="30">
        <v>107</v>
      </c>
      <c r="B108" s="820" t="s">
        <v>148</v>
      </c>
      <c r="C108" s="820" t="s">
        <v>149</v>
      </c>
      <c r="D108" s="816" t="str">
        <f t="shared" si="4"/>
        <v>Schiegg</v>
      </c>
      <c r="E108" s="816" t="str">
        <f t="shared" si="5"/>
        <v>Christoff</v>
      </c>
      <c r="F108" s="820">
        <v>8234</v>
      </c>
      <c r="G108" s="820" t="s">
        <v>999</v>
      </c>
      <c r="H108" s="820"/>
      <c r="I108" s="820" t="s">
        <v>517</v>
      </c>
      <c r="J108" s="820"/>
      <c r="K108" s="820" t="s">
        <v>283</v>
      </c>
      <c r="L108" s="821" t="s">
        <v>1003</v>
      </c>
      <c r="M108" s="868"/>
      <c r="N108" s="278"/>
      <c r="O108" s="277"/>
    </row>
    <row r="109" spans="1:15" ht="14">
      <c r="A109" s="30">
        <v>108</v>
      </c>
      <c r="B109" s="820" t="s">
        <v>981</v>
      </c>
      <c r="C109" s="820" t="s">
        <v>982</v>
      </c>
      <c r="D109" s="816" t="str">
        <f t="shared" si="4"/>
        <v>Schlattinger</v>
      </c>
      <c r="E109" s="816" t="str">
        <f t="shared" si="5"/>
        <v>Mirjam</v>
      </c>
      <c r="F109" s="820">
        <v>9320</v>
      </c>
      <c r="G109" s="820" t="s">
        <v>1201</v>
      </c>
      <c r="H109" s="820" t="s">
        <v>1233</v>
      </c>
      <c r="I109" s="820" t="s">
        <v>1234</v>
      </c>
      <c r="J109" s="820"/>
      <c r="K109" s="820" t="s">
        <v>986</v>
      </c>
      <c r="L109" s="821" t="s">
        <v>992</v>
      </c>
      <c r="M109" s="868"/>
      <c r="N109" s="266"/>
      <c r="O109" s="277"/>
    </row>
    <row r="110" spans="1:15" ht="14">
      <c r="A110" s="30">
        <v>109</v>
      </c>
      <c r="B110" s="820" t="s">
        <v>216</v>
      </c>
      <c r="C110" s="820" t="s">
        <v>217</v>
      </c>
      <c r="D110" s="816" t="str">
        <f t="shared" si="4"/>
        <v>Schmid</v>
      </c>
      <c r="E110" s="816" t="str">
        <f t="shared" si="5"/>
        <v>Michel</v>
      </c>
      <c r="F110" s="820">
        <v>4123</v>
      </c>
      <c r="G110" s="820" t="s">
        <v>218</v>
      </c>
      <c r="H110" s="820" t="s">
        <v>596</v>
      </c>
      <c r="I110" s="820" t="s">
        <v>597</v>
      </c>
      <c r="J110" s="820"/>
      <c r="K110" s="820" t="s">
        <v>219</v>
      </c>
      <c r="L110" s="821" t="s">
        <v>220</v>
      </c>
      <c r="M110" s="868"/>
      <c r="N110" s="278"/>
      <c r="O110" s="277"/>
    </row>
    <row r="111" spans="1:15" ht="14">
      <c r="A111" s="30">
        <v>110</v>
      </c>
      <c r="B111" s="820" t="s">
        <v>83</v>
      </c>
      <c r="C111" s="820" t="s">
        <v>1191</v>
      </c>
      <c r="D111" s="816" t="str">
        <f t="shared" si="4"/>
        <v>Sprenger</v>
      </c>
      <c r="E111" s="816" t="str">
        <f t="shared" si="5"/>
        <v>Livio</v>
      </c>
      <c r="F111" s="820">
        <v>9532</v>
      </c>
      <c r="G111" s="820" t="s">
        <v>294</v>
      </c>
      <c r="H111" s="820"/>
      <c r="I111" s="820" t="s">
        <v>1235</v>
      </c>
      <c r="J111" s="820"/>
      <c r="K111" s="820" t="s">
        <v>1243</v>
      </c>
      <c r="L111" s="821" t="s">
        <v>1269</v>
      </c>
      <c r="M111" s="868"/>
      <c r="N111" s="278"/>
      <c r="O111" s="277"/>
    </row>
    <row r="112" spans="1:15" ht="14">
      <c r="A112" s="30">
        <v>111</v>
      </c>
      <c r="B112" s="820" t="s">
        <v>85</v>
      </c>
      <c r="C112" s="820" t="s">
        <v>4</v>
      </c>
      <c r="D112" s="816" t="str">
        <f t="shared" si="4"/>
        <v>Steinauer</v>
      </c>
      <c r="E112" s="816" t="str">
        <f t="shared" si="5"/>
        <v>Peter</v>
      </c>
      <c r="F112" s="820">
        <v>8004</v>
      </c>
      <c r="G112" s="820" t="s">
        <v>13</v>
      </c>
      <c r="H112" s="820" t="s">
        <v>598</v>
      </c>
      <c r="I112" s="820" t="s">
        <v>599</v>
      </c>
      <c r="J112" s="820" t="s">
        <v>598</v>
      </c>
      <c r="K112" s="820" t="s">
        <v>1244</v>
      </c>
      <c r="L112" s="821" t="s">
        <v>301</v>
      </c>
      <c r="M112" s="868"/>
      <c r="N112" s="266"/>
      <c r="O112" s="61"/>
    </row>
    <row r="113" spans="1:15" ht="14">
      <c r="A113" s="30">
        <v>112</v>
      </c>
      <c r="B113" s="820" t="s">
        <v>390</v>
      </c>
      <c r="C113" s="820" t="s">
        <v>389</v>
      </c>
      <c r="D113" s="816" t="str">
        <f t="shared" si="4"/>
        <v>Stierli</v>
      </c>
      <c r="E113" s="816" t="str">
        <f t="shared" si="5"/>
        <v>Mark</v>
      </c>
      <c r="F113" s="820">
        <v>5015</v>
      </c>
      <c r="G113" s="820" t="s">
        <v>391</v>
      </c>
      <c r="H113" s="820"/>
      <c r="I113" s="820" t="s">
        <v>600</v>
      </c>
      <c r="J113" s="820"/>
      <c r="K113" s="820" t="s">
        <v>382</v>
      </c>
      <c r="L113" s="821" t="s">
        <v>392</v>
      </c>
      <c r="M113" s="868"/>
      <c r="O113" s="277"/>
    </row>
    <row r="114" spans="1:15" ht="14">
      <c r="A114" s="30">
        <v>113</v>
      </c>
      <c r="B114" s="820" t="s">
        <v>1192</v>
      </c>
      <c r="C114" s="820" t="s">
        <v>1193</v>
      </c>
      <c r="D114" s="816" t="str">
        <f t="shared" si="4"/>
        <v>Tortelli</v>
      </c>
      <c r="E114" s="816" t="str">
        <f t="shared" si="5"/>
        <v>Angelo</v>
      </c>
      <c r="F114" s="820">
        <v>8353</v>
      </c>
      <c r="G114" s="820" t="s">
        <v>874</v>
      </c>
      <c r="H114" s="820"/>
      <c r="I114" s="820" t="s">
        <v>1236</v>
      </c>
      <c r="J114" s="820"/>
      <c r="K114" s="820" t="s">
        <v>961</v>
      </c>
      <c r="L114" s="821" t="s">
        <v>1270</v>
      </c>
      <c r="M114" s="868"/>
      <c r="O114" s="277"/>
    </row>
    <row r="115" spans="1:15" ht="14">
      <c r="A115" s="30">
        <v>114</v>
      </c>
      <c r="B115" s="820" t="s">
        <v>1194</v>
      </c>
      <c r="C115" s="820" t="s">
        <v>233</v>
      </c>
      <c r="D115" s="816" t="str">
        <f t="shared" si="4"/>
        <v>Walker</v>
      </c>
      <c r="E115" s="816" t="str">
        <f t="shared" si="5"/>
        <v>Lorenz</v>
      </c>
      <c r="F115" s="820">
        <v>8353</v>
      </c>
      <c r="G115" s="820" t="s">
        <v>874</v>
      </c>
      <c r="H115" s="820"/>
      <c r="I115" s="820" t="s">
        <v>1237</v>
      </c>
      <c r="J115" s="820"/>
      <c r="K115" s="820" t="s">
        <v>961</v>
      </c>
      <c r="L115" s="821" t="s">
        <v>1271</v>
      </c>
      <c r="M115" s="868"/>
      <c r="O115" s="277"/>
    </row>
    <row r="116" spans="1:15" ht="14.5" thickBot="1">
      <c r="A116" s="30">
        <v>115</v>
      </c>
      <c r="B116" s="820" t="s">
        <v>694</v>
      </c>
      <c r="C116" s="820" t="s">
        <v>1195</v>
      </c>
      <c r="D116" s="816" t="str">
        <f t="shared" si="4"/>
        <v>Hagen</v>
      </c>
      <c r="E116" s="816" t="str">
        <f t="shared" si="5"/>
        <v>Cassandra</v>
      </c>
      <c r="F116" s="820">
        <v>9240</v>
      </c>
      <c r="G116" s="820" t="s">
        <v>1202</v>
      </c>
      <c r="H116" s="820"/>
      <c r="I116" s="820" t="s">
        <v>1238</v>
      </c>
      <c r="J116" s="820"/>
      <c r="K116" s="820" t="s">
        <v>967</v>
      </c>
      <c r="L116" s="821" t="s">
        <v>1272</v>
      </c>
      <c r="M116" s="869"/>
      <c r="O116" s="61"/>
    </row>
    <row r="117" spans="1:15" ht="14">
      <c r="A117" s="30">
        <v>116</v>
      </c>
      <c r="B117" s="814" t="s">
        <v>64</v>
      </c>
      <c r="C117" s="814" t="s">
        <v>81</v>
      </c>
      <c r="D117" s="816" t="str">
        <f t="shared" si="4"/>
        <v>Götsch</v>
      </c>
      <c r="E117" s="816" t="str">
        <f t="shared" si="5"/>
        <v>Christian</v>
      </c>
      <c r="F117" s="814">
        <v>8357</v>
      </c>
      <c r="G117" s="814" t="s">
        <v>304</v>
      </c>
      <c r="H117" s="814"/>
      <c r="I117" s="814" t="s">
        <v>494</v>
      </c>
      <c r="J117" s="52"/>
      <c r="K117" s="814" t="s">
        <v>1152</v>
      </c>
      <c r="L117" s="814" t="s">
        <v>1002</v>
      </c>
      <c r="M117" s="1"/>
    </row>
    <row r="118" spans="1:15" ht="14">
      <c r="A118" s="30">
        <v>117</v>
      </c>
      <c r="B118" s="814" t="s">
        <v>273</v>
      </c>
      <c r="C118" s="814" t="s">
        <v>180</v>
      </c>
      <c r="D118" s="816" t="str">
        <f t="shared" si="4"/>
        <v>Hofmann</v>
      </c>
      <c r="E118" s="816" t="str">
        <f t="shared" si="5"/>
        <v>Patrick</v>
      </c>
      <c r="F118" s="814">
        <v>8304</v>
      </c>
      <c r="G118" s="814" t="s">
        <v>73</v>
      </c>
      <c r="H118" s="814"/>
      <c r="I118" s="814" t="s">
        <v>500</v>
      </c>
      <c r="J118" s="52"/>
      <c r="K118" s="814" t="s">
        <v>74</v>
      </c>
      <c r="L118" s="814" t="s">
        <v>532</v>
      </c>
      <c r="M118" s="1"/>
    </row>
    <row r="119" spans="1:15" ht="14">
      <c r="A119" s="30">
        <v>118</v>
      </c>
      <c r="B119" s="814" t="s">
        <v>1274</v>
      </c>
      <c r="C119" s="814" t="s">
        <v>1275</v>
      </c>
      <c r="D119" s="816" t="str">
        <f t="shared" si="4"/>
        <v>Krause</v>
      </c>
      <c r="E119" s="816" t="str">
        <f t="shared" si="5"/>
        <v>Ole</v>
      </c>
      <c r="F119" s="814">
        <v>9535</v>
      </c>
      <c r="G119" s="814" t="s">
        <v>258</v>
      </c>
      <c r="H119" s="814"/>
      <c r="I119" s="814" t="s">
        <v>1282</v>
      </c>
      <c r="J119" s="198"/>
      <c r="K119" s="814" t="s">
        <v>1243</v>
      </c>
      <c r="L119" s="814" t="s">
        <v>1287</v>
      </c>
      <c r="M119" s="1"/>
    </row>
    <row r="120" spans="1:15" ht="14">
      <c r="A120" s="30">
        <v>119</v>
      </c>
      <c r="B120" s="814" t="s">
        <v>1276</v>
      </c>
      <c r="C120" s="814" t="s">
        <v>1277</v>
      </c>
      <c r="D120" s="816" t="str">
        <f t="shared" si="4"/>
        <v>Kündig</v>
      </c>
      <c r="E120" s="816" t="str">
        <f t="shared" si="5"/>
        <v>Anja</v>
      </c>
      <c r="F120" s="814">
        <v>8356</v>
      </c>
      <c r="G120" s="814" t="s">
        <v>347</v>
      </c>
      <c r="H120" s="814"/>
      <c r="I120" s="814" t="s">
        <v>1283</v>
      </c>
      <c r="J120" s="198"/>
      <c r="K120" s="814" t="s">
        <v>967</v>
      </c>
      <c r="L120" s="814" t="s">
        <v>1288</v>
      </c>
      <c r="M120" s="1"/>
    </row>
    <row r="121" spans="1:15" ht="14">
      <c r="A121" s="30">
        <v>120</v>
      </c>
      <c r="B121" s="814" t="s">
        <v>1183</v>
      </c>
      <c r="C121" s="814" t="s">
        <v>1278</v>
      </c>
      <c r="D121" s="816" t="str">
        <f t="shared" si="4"/>
        <v>Meissner</v>
      </c>
      <c r="E121" s="816" t="str">
        <f t="shared" si="5"/>
        <v>Janne</v>
      </c>
      <c r="F121" s="814">
        <v>8356</v>
      </c>
      <c r="G121" s="814" t="s">
        <v>347</v>
      </c>
      <c r="H121" s="814"/>
      <c r="I121" s="814" t="s">
        <v>1284</v>
      </c>
      <c r="J121" s="198"/>
      <c r="K121" s="814" t="s">
        <v>967</v>
      </c>
      <c r="L121" s="814" t="s">
        <v>1289</v>
      </c>
      <c r="M121" s="1"/>
    </row>
    <row r="122" spans="1:15" ht="14">
      <c r="A122" s="30">
        <v>121</v>
      </c>
      <c r="B122" s="814" t="s">
        <v>1189</v>
      </c>
      <c r="C122" s="814" t="s">
        <v>588</v>
      </c>
      <c r="D122" s="816" t="str">
        <f t="shared" si="4"/>
        <v>Schär</v>
      </c>
      <c r="E122" s="816" t="str">
        <f t="shared" si="5"/>
        <v>Fabienne</v>
      </c>
      <c r="F122" s="814">
        <v>8408</v>
      </c>
      <c r="G122" s="814" t="s">
        <v>228</v>
      </c>
      <c r="H122" s="814"/>
      <c r="I122" s="814" t="s">
        <v>1285</v>
      </c>
      <c r="J122" s="208"/>
      <c r="K122" s="814" t="s">
        <v>1240</v>
      </c>
      <c r="L122" s="814" t="s">
        <v>1290</v>
      </c>
      <c r="M122" s="1"/>
    </row>
    <row r="123" spans="1:15" ht="14">
      <c r="A123" s="30">
        <v>122</v>
      </c>
      <c r="B123" s="814" t="s">
        <v>1279</v>
      </c>
      <c r="C123" s="814" t="s">
        <v>1280</v>
      </c>
      <c r="D123" s="816" t="str">
        <f t="shared" si="4"/>
        <v>Spiranelli</v>
      </c>
      <c r="E123" s="816" t="str">
        <f t="shared" si="5"/>
        <v>Karin</v>
      </c>
      <c r="F123" s="814">
        <v>8355</v>
      </c>
      <c r="G123" s="814" t="s">
        <v>419</v>
      </c>
      <c r="H123" s="814"/>
      <c r="I123" s="814" t="s">
        <v>1286</v>
      </c>
      <c r="J123" s="211"/>
      <c r="K123" s="814" t="s">
        <v>967</v>
      </c>
      <c r="L123" s="814" t="s">
        <v>1291</v>
      </c>
      <c r="M123" s="1"/>
    </row>
    <row r="124" spans="1:15" ht="14">
      <c r="A124" s="30">
        <v>123</v>
      </c>
      <c r="B124" s="814" t="s">
        <v>86</v>
      </c>
      <c r="C124" s="814" t="s">
        <v>21</v>
      </c>
      <c r="D124" s="816" t="str">
        <f t="shared" si="4"/>
        <v>Tenini</v>
      </c>
      <c r="E124" s="816" t="str">
        <f t="shared" si="5"/>
        <v>Marco</v>
      </c>
      <c r="F124" s="814">
        <v>9556</v>
      </c>
      <c r="G124" s="814" t="s">
        <v>1281</v>
      </c>
      <c r="H124" s="814" t="s">
        <v>527</v>
      </c>
      <c r="I124" s="814" t="s">
        <v>528</v>
      </c>
      <c r="J124" s="208"/>
      <c r="K124" s="814" t="s">
        <v>84</v>
      </c>
      <c r="L124" s="814" t="s">
        <v>1292</v>
      </c>
      <c r="M124" s="1"/>
    </row>
    <row r="125" spans="1:15" ht="14">
      <c r="A125" s="30">
        <v>124</v>
      </c>
      <c r="B125" s="814" t="s">
        <v>601</v>
      </c>
      <c r="C125" s="814" t="s">
        <v>208</v>
      </c>
      <c r="D125" s="816" t="str">
        <f t="shared" si="4"/>
        <v>Tobler</v>
      </c>
      <c r="E125" s="816" t="str">
        <f t="shared" si="5"/>
        <v>Roman</v>
      </c>
      <c r="F125" s="814">
        <v>8645</v>
      </c>
      <c r="G125" s="814" t="s">
        <v>20</v>
      </c>
      <c r="H125" s="814"/>
      <c r="I125" s="814" t="s">
        <v>602</v>
      </c>
      <c r="J125" s="208"/>
      <c r="K125" s="814" t="s">
        <v>295</v>
      </c>
      <c r="L125" s="814" t="s">
        <v>609</v>
      </c>
      <c r="M125" s="1"/>
    </row>
    <row r="126" spans="1:15" ht="14">
      <c r="A126" s="30">
        <v>125</v>
      </c>
      <c r="B126" s="814" t="s">
        <v>393</v>
      </c>
      <c r="C126" s="814" t="s">
        <v>996</v>
      </c>
      <c r="D126" s="816" t="str">
        <f t="shared" si="4"/>
        <v>Zeltner</v>
      </c>
      <c r="E126" s="816" t="str">
        <f t="shared" si="5"/>
        <v>Dominik</v>
      </c>
      <c r="F126" s="814">
        <v>4626</v>
      </c>
      <c r="G126" s="814" t="s">
        <v>203</v>
      </c>
      <c r="H126" s="814"/>
      <c r="I126" s="814" t="s">
        <v>603</v>
      </c>
      <c r="J126" s="208"/>
      <c r="K126" s="814" t="s">
        <v>174</v>
      </c>
      <c r="L126" s="814" t="s">
        <v>394</v>
      </c>
      <c r="M126" s="1"/>
    </row>
    <row r="127" spans="1:15" ht="14">
      <c r="A127" s="30">
        <v>126</v>
      </c>
      <c r="B127" s="814" t="s">
        <v>694</v>
      </c>
      <c r="C127" s="814" t="s">
        <v>1195</v>
      </c>
      <c r="D127" s="816" t="str">
        <f t="shared" si="4"/>
        <v>Hagen</v>
      </c>
      <c r="E127" s="816" t="str">
        <f t="shared" si="5"/>
        <v>Cassandra</v>
      </c>
      <c r="F127" s="814">
        <v>9240</v>
      </c>
      <c r="G127" s="814" t="s">
        <v>1202</v>
      </c>
      <c r="H127" s="814"/>
      <c r="I127" s="814" t="s">
        <v>1238</v>
      </c>
      <c r="J127" s="208"/>
      <c r="K127" s="814" t="s">
        <v>967</v>
      </c>
      <c r="L127" s="814" t="s">
        <v>1272</v>
      </c>
      <c r="M127" s="1"/>
    </row>
    <row r="128" spans="1:15" ht="14">
      <c r="A128" s="207"/>
      <c r="B128" s="199"/>
      <c r="C128" s="199"/>
      <c r="D128" s="816"/>
      <c r="E128" s="816"/>
      <c r="F128" s="208"/>
      <c r="G128" s="209"/>
      <c r="H128" s="208"/>
      <c r="I128" s="208"/>
      <c r="J128" s="208"/>
      <c r="K128" s="199"/>
      <c r="L128" s="210"/>
      <c r="M128" s="1"/>
    </row>
    <row r="129" spans="1:13" ht="13.5">
      <c r="A129" s="207"/>
      <c r="B129" s="199"/>
      <c r="C129" s="199"/>
      <c r="D129" s="207"/>
      <c r="E129" s="207"/>
      <c r="F129" s="208"/>
      <c r="G129" s="215"/>
      <c r="H129" s="208"/>
      <c r="I129" s="208"/>
      <c r="J129" s="208"/>
      <c r="K129" s="199"/>
      <c r="L129" s="214"/>
      <c r="M129" s="1"/>
    </row>
    <row r="130" spans="1:13" ht="13.5">
      <c r="A130" s="207"/>
      <c r="B130" s="212"/>
      <c r="C130" s="740"/>
      <c r="D130" s="207"/>
      <c r="E130" s="207"/>
      <c r="F130" s="211"/>
      <c r="G130" s="157"/>
      <c r="H130" s="211"/>
      <c r="I130" s="220"/>
      <c r="J130" s="211"/>
      <c r="K130" s="199"/>
      <c r="L130" s="213"/>
      <c r="M130" s="1"/>
    </row>
    <row r="131" spans="1:13" ht="13.5">
      <c r="A131" s="207"/>
      <c r="B131" s="199"/>
      <c r="C131" s="199"/>
      <c r="D131" s="207"/>
      <c r="E131" s="207"/>
      <c r="F131" s="208"/>
      <c r="G131" s="209"/>
      <c r="H131" s="208"/>
      <c r="I131" s="208"/>
      <c r="J131" s="208"/>
      <c r="K131" s="199"/>
      <c r="L131" s="214"/>
      <c r="M131" s="1"/>
    </row>
    <row r="132" spans="1:13" ht="13.5">
      <c r="A132" s="207"/>
      <c r="B132" s="199"/>
      <c r="C132" s="199"/>
      <c r="D132" s="207"/>
      <c r="E132" s="207"/>
      <c r="F132" s="208"/>
      <c r="G132" s="209"/>
      <c r="H132" s="208"/>
      <c r="I132" s="208"/>
      <c r="J132" s="208"/>
      <c r="K132" s="199"/>
      <c r="L132" s="214"/>
      <c r="M132" s="1"/>
    </row>
    <row r="133" spans="1:13" ht="13.5">
      <c r="A133" s="207"/>
      <c r="B133" s="199"/>
      <c r="C133" s="199"/>
      <c r="D133" s="207"/>
      <c r="E133" s="207"/>
      <c r="F133" s="208"/>
      <c r="G133" s="209"/>
      <c r="H133" s="208"/>
      <c r="I133" s="208"/>
      <c r="J133" s="208"/>
      <c r="K133" s="199"/>
      <c r="L133" s="210"/>
      <c r="M133" s="1"/>
    </row>
    <row r="134" spans="1:13" ht="13.5">
      <c r="A134" s="207"/>
      <c r="B134" s="199"/>
      <c r="C134" s="199"/>
      <c r="D134" s="207"/>
      <c r="E134" s="207"/>
      <c r="F134" s="211"/>
      <c r="G134" s="157"/>
      <c r="H134" s="211"/>
      <c r="I134" s="208"/>
      <c r="J134" s="211"/>
      <c r="K134" s="199"/>
      <c r="L134" s="214"/>
      <c r="M134" s="1"/>
    </row>
    <row r="135" spans="1:13" ht="13.5">
      <c r="A135" s="207"/>
      <c r="B135" s="199"/>
      <c r="C135" s="199"/>
      <c r="D135" s="207"/>
      <c r="E135" s="207"/>
      <c r="F135" s="208"/>
      <c r="G135" s="215"/>
      <c r="H135" s="208"/>
      <c r="I135" s="208"/>
      <c r="J135" s="208"/>
      <c r="K135" s="199"/>
      <c r="L135" s="214"/>
      <c r="M135" s="1"/>
    </row>
    <row r="136" spans="1:13" ht="13.5">
      <c r="A136" s="207"/>
      <c r="B136" s="199"/>
      <c r="C136" s="199"/>
      <c r="D136" s="207"/>
      <c r="E136" s="207"/>
      <c r="F136" s="208"/>
      <c r="G136" s="209"/>
      <c r="H136" s="208"/>
      <c r="I136" s="208"/>
      <c r="J136" s="208"/>
      <c r="K136" s="199"/>
      <c r="L136" s="214"/>
      <c r="M136" s="1"/>
    </row>
    <row r="137" spans="1:13" ht="13.5">
      <c r="A137" s="207"/>
      <c r="B137" s="199"/>
      <c r="C137" s="199"/>
      <c r="D137" s="207"/>
      <c r="E137" s="207"/>
      <c r="F137" s="208"/>
      <c r="G137" s="209"/>
      <c r="H137" s="208"/>
      <c r="I137" s="208"/>
      <c r="J137" s="208"/>
      <c r="K137" s="199"/>
      <c r="L137" s="210"/>
      <c r="M137" s="1"/>
    </row>
    <row r="138" spans="1:13" ht="13.5">
      <c r="A138" s="207"/>
      <c r="B138" s="199"/>
      <c r="C138" s="199"/>
      <c r="D138" s="207"/>
      <c r="E138" s="207"/>
      <c r="F138" s="208"/>
      <c r="G138" s="209"/>
      <c r="H138" s="208"/>
      <c r="I138" s="208"/>
      <c r="J138" s="208"/>
      <c r="K138" s="199"/>
      <c r="L138" s="214"/>
      <c r="M138" s="1"/>
    </row>
    <row r="139" spans="1:13" ht="13.5">
      <c r="A139" s="207"/>
      <c r="B139" s="212"/>
      <c r="C139" s="740"/>
      <c r="D139" s="207"/>
      <c r="E139" s="207"/>
      <c r="F139" s="211"/>
      <c r="G139" s="216"/>
      <c r="H139" s="211"/>
      <c r="I139" s="211"/>
      <c r="J139" s="211"/>
      <c r="K139" s="212"/>
      <c r="L139" s="213"/>
      <c r="M139" s="1"/>
    </row>
    <row r="140" spans="1:13" ht="13.5">
      <c r="A140" s="207"/>
      <c r="B140" s="199"/>
      <c r="C140" s="199"/>
      <c r="D140" s="207"/>
      <c r="E140" s="207"/>
      <c r="F140" s="208"/>
      <c r="G140" s="209"/>
      <c r="H140" s="208"/>
      <c r="I140" s="208"/>
      <c r="J140" s="208"/>
      <c r="K140" s="199"/>
      <c r="L140" s="210"/>
      <c r="M140" s="1"/>
    </row>
    <row r="141" spans="1:13" ht="13.5">
      <c r="A141" s="207"/>
      <c r="B141" s="199"/>
      <c r="C141" s="199"/>
      <c r="D141" s="207"/>
      <c r="E141" s="207"/>
      <c r="F141" s="211"/>
      <c r="G141" s="209"/>
      <c r="H141" s="211"/>
      <c r="I141" s="208"/>
      <c r="J141" s="211"/>
      <c r="K141" s="199"/>
      <c r="L141" s="214"/>
      <c r="M141" s="1"/>
    </row>
    <row r="142" spans="1:13" ht="13.5">
      <c r="A142" s="207"/>
      <c r="B142" s="199"/>
      <c r="C142" s="199"/>
      <c r="D142" s="207"/>
      <c r="E142" s="207"/>
      <c r="F142" s="208"/>
      <c r="G142" s="209"/>
      <c r="H142" s="208"/>
      <c r="I142" s="208"/>
      <c r="J142" s="208"/>
      <c r="K142" s="199"/>
      <c r="L142" s="210"/>
      <c r="M142" s="1"/>
    </row>
    <row r="143" spans="1:13" ht="13.5">
      <c r="A143" s="207"/>
      <c r="B143" s="199"/>
      <c r="C143" s="199"/>
      <c r="D143" s="207"/>
      <c r="E143" s="207"/>
      <c r="F143" s="208"/>
      <c r="G143" s="209"/>
      <c r="H143" s="208"/>
      <c r="I143" s="208"/>
      <c r="J143" s="208"/>
      <c r="K143" s="199"/>
      <c r="L143" s="214"/>
      <c r="M143" s="1"/>
    </row>
    <row r="144" spans="1:13" ht="13.5">
      <c r="A144" s="207"/>
      <c r="B144" s="199"/>
      <c r="C144" s="199"/>
      <c r="D144" s="207"/>
      <c r="E144" s="207"/>
      <c r="F144" s="208"/>
      <c r="G144" s="209"/>
      <c r="H144" s="211"/>
      <c r="I144" s="208"/>
      <c r="J144" s="211"/>
      <c r="K144" s="199"/>
      <c r="L144" s="214"/>
      <c r="M144" s="1"/>
    </row>
    <row r="145" spans="1:13" ht="13.5">
      <c r="A145" s="207"/>
      <c r="B145" s="212"/>
      <c r="C145" s="740"/>
      <c r="D145" s="207"/>
      <c r="E145" s="207"/>
      <c r="F145" s="211"/>
      <c r="G145" s="216"/>
      <c r="H145" s="208"/>
      <c r="I145" s="208"/>
      <c r="J145" s="211"/>
      <c r="K145" s="212"/>
      <c r="L145" s="217"/>
      <c r="M145" s="1"/>
    </row>
    <row r="146" spans="1:13" ht="13.5">
      <c r="A146" s="207"/>
      <c r="B146" s="199"/>
      <c r="C146" s="199"/>
      <c r="D146" s="207"/>
      <c r="E146" s="207"/>
      <c r="F146" s="208"/>
      <c r="G146" s="209"/>
      <c r="H146" s="208"/>
      <c r="I146" s="208"/>
      <c r="J146" s="208"/>
      <c r="K146" s="199"/>
      <c r="L146" s="214"/>
      <c r="M146" s="1"/>
    </row>
    <row r="147" spans="1:13" ht="13.5">
      <c r="A147" s="207"/>
      <c r="B147" s="212"/>
      <c r="C147" s="740"/>
      <c r="D147" s="207"/>
      <c r="E147" s="207"/>
      <c r="F147" s="211"/>
      <c r="G147" s="216"/>
      <c r="H147" s="211"/>
      <c r="I147" s="211"/>
      <c r="J147" s="211"/>
      <c r="K147" s="212"/>
      <c r="L147" s="217"/>
      <c r="M147" s="1"/>
    </row>
    <row r="148" spans="1:13" ht="13.5">
      <c r="A148" s="207"/>
      <c r="B148" s="212"/>
      <c r="C148" s="740"/>
      <c r="D148" s="207"/>
      <c r="E148" s="207"/>
      <c r="F148" s="211"/>
      <c r="G148" s="216"/>
      <c r="H148" s="211"/>
      <c r="I148" s="211"/>
      <c r="J148" s="211"/>
      <c r="K148" s="212"/>
      <c r="L148" s="214"/>
      <c r="M148" s="1"/>
    </row>
    <row r="149" spans="1:13" ht="13.5">
      <c r="A149" s="207"/>
      <c r="B149" s="212"/>
      <c r="C149" s="740"/>
      <c r="D149" s="207"/>
      <c r="E149" s="207"/>
      <c r="F149" s="211"/>
      <c r="G149" s="216"/>
      <c r="H149" s="211"/>
      <c r="I149" s="211"/>
      <c r="J149" s="211"/>
      <c r="K149" s="212"/>
      <c r="L149" s="214"/>
      <c r="M149" s="1"/>
    </row>
    <row r="150" spans="1:13" ht="13.5">
      <c r="A150" s="207"/>
      <c r="B150" s="199"/>
      <c r="C150" s="199"/>
      <c r="D150" s="207"/>
      <c r="E150" s="207"/>
      <c r="F150" s="208"/>
      <c r="G150" s="209"/>
      <c r="H150" s="208"/>
      <c r="I150" s="208"/>
      <c r="J150" s="208"/>
      <c r="K150" s="199"/>
      <c r="L150" s="214"/>
      <c r="M150" s="1"/>
    </row>
    <row r="151" spans="1:13" ht="13.5">
      <c r="A151" s="207"/>
      <c r="B151" s="199"/>
      <c r="C151" s="199"/>
      <c r="D151" s="207"/>
      <c r="E151" s="207"/>
      <c r="F151" s="208"/>
      <c r="G151" s="209"/>
      <c r="H151" s="208"/>
      <c r="I151" s="208"/>
      <c r="J151" s="208"/>
      <c r="K151" s="199"/>
      <c r="L151" s="214"/>
      <c r="M151" s="1"/>
    </row>
    <row r="152" spans="1:13" ht="13.5">
      <c r="A152" s="207"/>
      <c r="B152" s="212"/>
      <c r="C152" s="740"/>
      <c r="D152" s="207"/>
      <c r="E152" s="207"/>
      <c r="F152" s="211"/>
      <c r="G152" s="216"/>
      <c r="H152" s="211"/>
      <c r="I152" s="211"/>
      <c r="J152" s="211"/>
      <c r="K152" s="199"/>
      <c r="L152" s="218"/>
      <c r="M152" s="1"/>
    </row>
    <row r="153" spans="1:13" ht="13.5">
      <c r="A153" s="207"/>
      <c r="B153" s="199"/>
      <c r="C153" s="199"/>
      <c r="D153" s="207"/>
      <c r="E153" s="207"/>
      <c r="F153" s="208"/>
      <c r="G153" s="209"/>
      <c r="H153" s="208"/>
      <c r="I153" s="208"/>
      <c r="J153" s="208"/>
      <c r="K153" s="199"/>
      <c r="L153" s="214"/>
      <c r="M153" s="1"/>
    </row>
    <row r="154" spans="1:13" ht="13.5">
      <c r="A154" s="207"/>
      <c r="B154" s="212"/>
      <c r="C154" s="740"/>
      <c r="D154" s="207"/>
      <c r="E154" s="207"/>
      <c r="F154" s="211"/>
      <c r="G154" s="216"/>
      <c r="H154" s="211"/>
      <c r="I154" s="211"/>
      <c r="J154" s="211"/>
      <c r="K154" s="212"/>
      <c r="L154" s="214"/>
      <c r="M154" s="1"/>
    </row>
    <row r="155" spans="1:13" ht="13.5">
      <c r="A155" s="207"/>
      <c r="B155" s="199"/>
      <c r="C155" s="199"/>
      <c r="D155" s="207"/>
      <c r="E155" s="207"/>
      <c r="F155" s="208"/>
      <c r="G155" s="209"/>
      <c r="H155" s="208"/>
      <c r="I155" s="208"/>
      <c r="J155" s="211"/>
      <c r="K155" s="199"/>
      <c r="L155" s="214"/>
      <c r="M155" s="1"/>
    </row>
    <row r="156" spans="1:13" ht="13.5">
      <c r="A156" s="207"/>
      <c r="B156" s="199"/>
      <c r="C156" s="199"/>
      <c r="D156" s="207"/>
      <c r="E156" s="207"/>
      <c r="F156" s="208"/>
      <c r="G156" s="209"/>
      <c r="H156" s="208"/>
      <c r="I156" s="208"/>
      <c r="J156" s="208"/>
      <c r="K156" s="199"/>
      <c r="L156" s="210"/>
      <c r="M156" s="1"/>
    </row>
    <row r="157" spans="1:13" ht="13.5">
      <c r="A157" s="207"/>
      <c r="B157" s="199"/>
      <c r="C157" s="199"/>
      <c r="D157" s="207"/>
      <c r="E157" s="207"/>
      <c r="F157" s="208"/>
      <c r="G157" s="215"/>
      <c r="H157" s="208"/>
      <c r="I157" s="208"/>
      <c r="J157" s="208"/>
      <c r="K157" s="199"/>
      <c r="L157" s="214"/>
      <c r="M157" s="1"/>
    </row>
    <row r="158" spans="1:13" ht="13.5">
      <c r="A158" s="207"/>
      <c r="B158" s="199"/>
      <c r="C158" s="199"/>
      <c r="D158" s="207"/>
      <c r="E158" s="207"/>
      <c r="F158" s="208"/>
      <c r="G158" s="209"/>
      <c r="H158" s="208"/>
      <c r="I158" s="208"/>
      <c r="J158" s="208"/>
      <c r="K158" s="199"/>
      <c r="L158" s="219"/>
      <c r="M158" s="1"/>
    </row>
    <row r="159" spans="1:13" ht="13.5">
      <c r="A159" s="207"/>
      <c r="B159" s="199"/>
      <c r="C159" s="199"/>
      <c r="D159" s="207"/>
      <c r="E159" s="207"/>
      <c r="F159" s="208"/>
      <c r="G159" s="209"/>
      <c r="H159" s="208"/>
      <c r="I159" s="208"/>
      <c r="J159" s="208"/>
      <c r="K159" s="199"/>
      <c r="L159" s="214"/>
      <c r="M159" s="1"/>
    </row>
    <row r="160" spans="1:13" ht="13.5">
      <c r="A160" s="207"/>
      <c r="B160" s="199"/>
      <c r="C160" s="199"/>
      <c r="D160" s="207"/>
      <c r="E160" s="207"/>
      <c r="F160" s="208"/>
      <c r="G160" s="209"/>
      <c r="H160" s="208"/>
      <c r="I160" s="208"/>
      <c r="J160" s="208"/>
      <c r="K160" s="199"/>
      <c r="L160" s="214"/>
      <c r="M160" s="1"/>
    </row>
    <row r="161" spans="1:13" ht="13.5">
      <c r="A161" s="207"/>
      <c r="B161" s="199"/>
      <c r="C161" s="199"/>
      <c r="D161" s="207"/>
      <c r="E161" s="207"/>
      <c r="F161" s="208"/>
      <c r="G161" s="209"/>
      <c r="H161" s="208"/>
      <c r="I161" s="208"/>
      <c r="J161" s="208"/>
      <c r="K161" s="199"/>
      <c r="L161" s="214"/>
      <c r="M161" s="1"/>
    </row>
    <row r="162" spans="1:13" ht="13.5">
      <c r="A162" s="207"/>
      <c r="B162" s="212"/>
      <c r="C162" s="740"/>
      <c r="D162" s="207"/>
      <c r="E162" s="207"/>
      <c r="F162" s="211"/>
      <c r="G162" s="216"/>
      <c r="H162" s="211"/>
      <c r="I162" s="211"/>
      <c r="J162" s="211"/>
      <c r="K162" s="212"/>
      <c r="L162" s="214"/>
      <c r="M162" s="1"/>
    </row>
    <row r="163" spans="1:13" ht="13.5">
      <c r="A163" s="207"/>
      <c r="B163" s="212"/>
      <c r="C163" s="740"/>
      <c r="D163" s="207"/>
      <c r="E163" s="207"/>
      <c r="F163" s="211"/>
      <c r="G163" s="216"/>
      <c r="H163" s="211"/>
      <c r="I163" s="211"/>
      <c r="J163" s="211"/>
      <c r="K163" s="212"/>
      <c r="L163" s="214"/>
      <c r="M163" s="1"/>
    </row>
    <row r="164" spans="1:13" ht="13.5">
      <c r="A164" s="207"/>
      <c r="B164" s="199"/>
      <c r="C164" s="199"/>
      <c r="D164" s="207"/>
      <c r="E164" s="207"/>
      <c r="F164" s="208"/>
      <c r="G164" s="209"/>
      <c r="H164" s="208"/>
      <c r="I164" s="208"/>
      <c r="J164" s="208"/>
      <c r="K164" s="199"/>
      <c r="L164" s="214"/>
      <c r="M164" s="1"/>
    </row>
    <row r="165" spans="1:13" ht="13.5">
      <c r="A165" s="207"/>
      <c r="B165" s="212"/>
      <c r="C165" s="740"/>
      <c r="D165" s="207"/>
      <c r="E165" s="207"/>
      <c r="F165" s="211"/>
      <c r="G165" s="216"/>
      <c r="H165" s="211"/>
      <c r="I165" s="211"/>
      <c r="J165" s="211"/>
      <c r="K165" s="212"/>
      <c r="L165" s="213"/>
      <c r="M165" s="1"/>
    </row>
    <row r="166" spans="1:13" ht="13.5">
      <c r="A166" s="207"/>
      <c r="B166" s="212"/>
      <c r="C166" s="740"/>
      <c r="D166" s="207"/>
      <c r="E166" s="207"/>
      <c r="F166" s="211"/>
      <c r="G166" s="216"/>
      <c r="H166" s="211"/>
      <c r="I166" s="211"/>
      <c r="J166" s="211"/>
      <c r="K166" s="212"/>
      <c r="L166" s="214"/>
      <c r="M166" s="1"/>
    </row>
    <row r="167" spans="1:13" ht="13.5">
      <c r="A167" s="207"/>
      <c r="B167" s="212"/>
      <c r="C167" s="740"/>
      <c r="D167" s="207"/>
      <c r="E167" s="207"/>
      <c r="F167" s="211"/>
      <c r="G167" s="216"/>
      <c r="H167" s="211"/>
      <c r="I167" s="211"/>
      <c r="J167" s="211"/>
      <c r="K167" s="212"/>
      <c r="L167" s="214"/>
      <c r="M167" s="1"/>
    </row>
    <row r="168" spans="1:13" ht="13.5">
      <c r="A168" s="207"/>
      <c r="B168" s="199"/>
      <c r="C168" s="199"/>
      <c r="D168" s="207"/>
      <c r="E168" s="207"/>
      <c r="F168" s="211"/>
      <c r="G168" s="209"/>
      <c r="H168" s="211"/>
      <c r="I168" s="208"/>
      <c r="J168" s="211"/>
      <c r="K168" s="199"/>
      <c r="L168" s="214"/>
      <c r="M168" s="1"/>
    </row>
    <row r="169" spans="1:13" ht="13.5">
      <c r="A169" s="207"/>
      <c r="B169" s="212"/>
      <c r="C169" s="740"/>
      <c r="D169" s="207"/>
      <c r="E169" s="207"/>
      <c r="F169" s="211"/>
      <c r="G169" s="216"/>
      <c r="H169" s="211"/>
      <c r="I169" s="211"/>
      <c r="J169" s="211"/>
      <c r="K169" s="199"/>
      <c r="L169" s="218"/>
      <c r="M169" s="1"/>
    </row>
    <row r="170" spans="1:13" ht="13.5">
      <c r="A170" s="207"/>
      <c r="B170" s="212"/>
      <c r="C170" s="740"/>
      <c r="D170" s="207"/>
      <c r="E170" s="207"/>
      <c r="F170" s="211"/>
      <c r="G170" s="216"/>
      <c r="H170" s="211"/>
      <c r="I170" s="211"/>
      <c r="J170" s="211"/>
      <c r="K170" s="212"/>
      <c r="L170" s="214"/>
      <c r="M170" s="1"/>
    </row>
    <row r="171" spans="1:13" ht="13.5">
      <c r="A171" s="207"/>
      <c r="B171" s="1"/>
      <c r="C171" s="37"/>
      <c r="D171" s="207"/>
      <c r="E171" s="207"/>
      <c r="F171" s="30"/>
      <c r="G171" s="216"/>
      <c r="H171" s="30"/>
      <c r="I171" s="30"/>
      <c r="J171" s="30"/>
      <c r="K171" s="1"/>
      <c r="L171" s="1"/>
      <c r="M171" s="1"/>
    </row>
    <row r="172" spans="1:13" ht="13.5">
      <c r="A172" s="207"/>
      <c r="B172" s="1"/>
      <c r="C172" s="37"/>
      <c r="D172" s="207"/>
      <c r="E172" s="207"/>
      <c r="F172" s="30"/>
      <c r="G172" s="216"/>
      <c r="H172" s="30"/>
      <c r="I172" s="30"/>
      <c r="J172" s="30"/>
      <c r="K172" s="1"/>
      <c r="L172" s="1"/>
      <c r="M172" s="1"/>
    </row>
    <row r="173" spans="1:13" ht="13.5">
      <c r="A173" s="207"/>
      <c r="B173" s="1"/>
      <c r="C173" s="37"/>
      <c r="D173" s="207"/>
      <c r="E173" s="207"/>
      <c r="F173" s="30"/>
      <c r="G173" s="216"/>
      <c r="H173" s="30"/>
      <c r="I173" s="30"/>
      <c r="J173" s="30"/>
      <c r="K173" s="1"/>
      <c r="L173" s="1"/>
      <c r="M173" s="1"/>
    </row>
    <row r="174" spans="1:13" ht="13.5">
      <c r="A174" s="207"/>
      <c r="B174" s="1"/>
      <c r="C174" s="37"/>
      <c r="D174" s="207"/>
      <c r="E174" s="207"/>
      <c r="F174" s="30"/>
      <c r="G174" s="216"/>
      <c r="H174" s="30"/>
      <c r="I174" s="30"/>
      <c r="J174" s="30"/>
      <c r="K174" s="1"/>
      <c r="L174" s="1"/>
      <c r="M174" s="1"/>
    </row>
    <row r="175" spans="1:13" ht="13.5">
      <c r="A175" s="207"/>
      <c r="B175" s="1"/>
      <c r="C175" s="37"/>
      <c r="D175" s="207"/>
      <c r="E175" s="207"/>
      <c r="F175" s="30"/>
      <c r="G175" s="216"/>
      <c r="H175" s="30"/>
      <c r="I175" s="30"/>
      <c r="J175" s="30"/>
      <c r="K175" s="1"/>
      <c r="L175" s="1"/>
      <c r="M175" s="1"/>
    </row>
    <row r="176" spans="1:13" ht="13.5">
      <c r="A176" s="207"/>
      <c r="B176" s="1"/>
      <c r="C176" s="37"/>
      <c r="D176" s="207"/>
      <c r="E176" s="207"/>
      <c r="F176" s="30"/>
      <c r="G176" s="216"/>
      <c r="H176" s="30"/>
      <c r="I176" s="30"/>
      <c r="J176" s="30"/>
      <c r="K176" s="1"/>
      <c r="L176" s="1"/>
      <c r="M176" s="1"/>
    </row>
    <row r="177" spans="1:13" ht="13.5">
      <c r="A177" s="207"/>
      <c r="B177" s="1"/>
      <c r="C177" s="37"/>
      <c r="D177" s="207"/>
      <c r="E177" s="207"/>
      <c r="F177" s="30"/>
      <c r="G177" s="216"/>
      <c r="H177" s="30"/>
      <c r="I177" s="30"/>
      <c r="J177" s="30"/>
      <c r="K177" s="1"/>
      <c r="L177" s="1"/>
      <c r="M177" s="1"/>
    </row>
    <row r="178" spans="1:13" ht="13.5">
      <c r="A178" s="207"/>
      <c r="B178" s="1"/>
      <c r="C178" s="37"/>
      <c r="D178" s="207"/>
      <c r="E178" s="207"/>
      <c r="F178" s="30"/>
      <c r="G178" s="216"/>
      <c r="H178" s="30"/>
      <c r="I178" s="30"/>
      <c r="J178" s="30"/>
      <c r="K178" s="1"/>
      <c r="L178" s="1"/>
      <c r="M178" s="1"/>
    </row>
    <row r="179" spans="1:13" ht="13.5">
      <c r="A179" s="207"/>
      <c r="B179" s="1"/>
      <c r="C179" s="37"/>
      <c r="D179" s="207"/>
      <c r="E179" s="207"/>
      <c r="F179" s="30"/>
      <c r="G179" s="216"/>
      <c r="H179" s="30"/>
      <c r="I179" s="30"/>
      <c r="J179" s="30"/>
      <c r="K179" s="1"/>
      <c r="L179" s="1"/>
      <c r="M179" s="1"/>
    </row>
    <row r="180" spans="1:13" ht="13.5">
      <c r="A180" s="207"/>
      <c r="B180" s="1"/>
      <c r="C180" s="37"/>
      <c r="D180" s="207"/>
      <c r="E180" s="207"/>
      <c r="F180" s="30"/>
      <c r="G180" s="216"/>
      <c r="H180" s="30"/>
      <c r="I180" s="30"/>
      <c r="J180" s="30"/>
      <c r="K180" s="1"/>
      <c r="L180" s="1"/>
      <c r="M180" s="1"/>
    </row>
  </sheetData>
  <autoFilter ref="B1:L127" xr:uid="{00000000-0001-0000-0100-000000000000}"/>
  <sortState xmlns:xlrd2="http://schemas.microsoft.com/office/spreadsheetml/2017/richdata2" ref="B17:L46">
    <sortCondition ref="B17:B46"/>
  </sortState>
  <mergeCells count="4">
    <mergeCell ref="M81:M116"/>
    <mergeCell ref="M2:M16"/>
    <mergeCell ref="M17:M46"/>
    <mergeCell ref="M47:M80"/>
  </mergeCells>
  <phoneticPr fontId="0" type="noConversion"/>
  <printOptions verticalCentered="1"/>
  <pageMargins left="0.39370078740157483" right="0.39370078740157483" top="0.23622047244094491" bottom="0.23622047244094491" header="0.15748031496062992" footer="0.19685039370078741"/>
  <pageSetup paperSize="9" scale="8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8AB3-B043-4F1C-8C96-B0A64D66BC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D'!E1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D'!A5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e">
        <f>'Aufgebot D'!A15</f>
        <v>#N/A</v>
      </c>
      <c r="F6" s="1343"/>
      <c r="G6" s="1343"/>
      <c r="H6" s="1343"/>
      <c r="I6" s="1343"/>
      <c r="J6" s="1320" t="s">
        <v>324</v>
      </c>
      <c r="K6" s="1320"/>
      <c r="L6" s="1321" t="e">
        <f>'Aufgebot D'!G15</f>
        <v>#N/A</v>
      </c>
      <c r="M6" s="1321"/>
      <c r="N6" s="1321"/>
      <c r="O6" s="1320" t="s">
        <v>323</v>
      </c>
      <c r="P6" s="1320"/>
      <c r="Q6" s="1320"/>
      <c r="R6" s="1320"/>
      <c r="S6" s="1320" t="e">
        <f>'Aufgebot D'!L15</f>
        <v>#N/A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'Aufgebot D'!Y5</f>
        <v>D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e">
        <f>'Aufgebot D'!A8</f>
        <v>#N/A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e">
        <f>'Aufgebot D'!O8</f>
        <v>#N/A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D'!A19&amp;" "&amp;'Aufgebot D'!G19</f>
        <v xml:space="preserve"> 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e">
        <f>'Aufgebot D'!A9</f>
        <v>#N/A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>
        <f>Eigaben!V9</f>
        <v>0</v>
      </c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D'!$G$34&gt;0,1,"")</f>
        <v/>
      </c>
      <c r="H30" s="249" t="str">
        <f>IF('Aufgebot D'!$G$34&gt;0,2,"")</f>
        <v/>
      </c>
      <c r="I30" s="249" t="str">
        <f>IF('Aufgebot D'!$G$34=3,3,"")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D'!$G$34&gt;0,1,"")</f>
        <v/>
      </c>
      <c r="H32" s="249" t="str">
        <f>IF('Aufgebot D'!$G$34&gt;0,2,"")</f>
        <v/>
      </c>
      <c r="I32" s="249" t="str">
        <f>IF('Aufgebot D'!$G$34=3,3,"")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D'!$G$34&gt;0,1,"")</f>
        <v/>
      </c>
      <c r="H34" s="249" t="str">
        <f>IF('Aufgebot D'!$G$34&gt;0,2,"")</f>
        <v/>
      </c>
      <c r="I34" s="249" t="str">
        <f>IF('Aufgebot D'!$G$34=3,3,"")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D'!$G$34&gt;0,1,"")</f>
        <v/>
      </c>
      <c r="H36" s="249" t="str">
        <f>IF('Aufgebot D'!$G$34&gt;0,2,"")</f>
        <v/>
      </c>
      <c r="I36" s="249" t="str">
        <f>IF('Aufgebot D'!$G$34=3,3,"")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D'!$G$34&gt;0,1,"")</f>
        <v/>
      </c>
      <c r="H39" s="249" t="str">
        <f>IF('Aufgebot D'!$G$34&gt;0,2,"")</f>
        <v/>
      </c>
      <c r="I39" s="249" t="str">
        <f>IF('Aufgebot D'!$G$34=3,3,"")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D'!$G$34&gt;0,1,"")</f>
        <v/>
      </c>
      <c r="H41" s="249" t="str">
        <f>IF('Aufgebot D'!$G$34&gt;0,2,"")</f>
        <v/>
      </c>
      <c r="I41" s="249" t="str">
        <f>IF('Aufgebot D'!$G$34=3,3,"")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D'!$G$34&gt;0,1,"")</f>
        <v/>
      </c>
      <c r="H43" s="249" t="str">
        <f>IF('Aufgebot D'!$G$34&gt;0,2,"")</f>
        <v/>
      </c>
      <c r="I43" s="249" t="str">
        <f>IF('Aufgebot D'!$G$34=3,3,"")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D'!$G$34&gt;0,1,"")</f>
        <v/>
      </c>
      <c r="H45" s="249" t="str">
        <f>IF('Aufgebot D'!$G$34&gt;0,2,"")</f>
        <v/>
      </c>
      <c r="I45" s="249" t="str">
        <f>IF('Aufgebot D'!$G$34=3,3,"")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D'!$G$34&gt;0,1,"")</f>
        <v/>
      </c>
      <c r="H48" s="249" t="str">
        <f>IF('Aufgebot D'!$G$34&gt;0,2,"")</f>
        <v/>
      </c>
      <c r="I48" s="249" t="str">
        <f>IF('Aufgebot D'!$G$34=3,3,"")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90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26:F26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23:E23"/>
    <mergeCell ref="F23:R23"/>
    <mergeCell ref="AB23:AJ23"/>
    <mergeCell ref="G24:R24"/>
    <mergeCell ref="S24:X24"/>
    <mergeCell ref="Y24:AJ24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1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7839-EA74-4510-8067-FF36F1A4F18A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">
        <v>617</v>
      </c>
      <c r="Z5" s="1182"/>
      <c r="AA5" s="1193"/>
      <c r="AC5" s="156"/>
      <c r="AD5" s="265"/>
      <c r="AE5" s="172"/>
    </row>
    <row r="6" spans="1:33" ht="9" customHeight="1" thickBot="1">
      <c r="A6" s="363">
        <f>Eigaben!F10</f>
        <v>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Eigaben!G10</f>
        <v>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e">
        <f>(VLOOKUP($A$6,Eigaben!$Y$17:$Z$103,2,0))</f>
        <v>#N/A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e">
        <f>(VLOOKUP($O$6,Eigaben!$Y$17:$Z$103,2,0))</f>
        <v>#N/A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e">
        <f>VLOOKUP($A$6,Eigaben!$Y$17:$AH$103,3,1)&amp;" "&amp;VLOOKUP(A6,Eigaben!Y17:AH103,4,1)</f>
        <v>#N/A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e">
        <f>VLOOKUP($O$6,Eigaben!$Y$17:$AH$103,3,1)&amp;" "&amp;VLOOKUP($O$6,Eigaben!$Y$17:$AH$103,4,1)</f>
        <v>#N/A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e">
        <f>VLOOKUP($A$6,Eigaben!$Y$17:$AH$103,5,1)</f>
        <v>#N/A</v>
      </c>
      <c r="B10" s="1187"/>
      <c r="C10" s="1187"/>
      <c r="D10" s="1187"/>
      <c r="E10" s="1187"/>
      <c r="F10" s="1187"/>
      <c r="G10" s="1111" t="e">
        <f>VLOOKUP($A$6,Eigaben!$Y$17:$AH$103,6,1)&amp;" "&amp;VLOOKUP(A6,Eigaben!$Y$17:$AH$103,7,1)</f>
        <v>#N/A</v>
      </c>
      <c r="H10" s="1112"/>
      <c r="I10" s="1112"/>
      <c r="J10" s="1112"/>
      <c r="K10" s="1112"/>
      <c r="L10" s="1112"/>
      <c r="M10" s="1113"/>
      <c r="N10" s="22"/>
      <c r="O10" s="1229" t="e">
        <f>VLOOKUP($O$6,Eigaben!$Y$17:$AH$103,5,1)</f>
        <v>#N/A</v>
      </c>
      <c r="P10" s="1187"/>
      <c r="Q10" s="1187"/>
      <c r="R10" s="1187"/>
      <c r="S10" s="1187"/>
      <c r="T10" s="1187"/>
      <c r="U10" s="1187" t="e">
        <f>VLOOKUP($O$6,Eigaben!$Y$17:$AV$103,6,1)&amp;" "&amp;VLOOKUP($O$6,Eigaben!$Y$17:$AV$103,7,1)</f>
        <v>#N/A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e">
        <f>IF(Eigaben!AF54=0,"",VLOOKUP($A$6,Eigaben!$Y$17:$AH$103,8,1))</f>
        <v>#N/A</v>
      </c>
      <c r="B11" s="1112"/>
      <c r="C11" s="1112"/>
      <c r="D11" s="1112"/>
      <c r="E11" s="1112"/>
      <c r="F11" s="861"/>
      <c r="G11" s="860" t="e">
        <f>IF(Eigaben!$AG$54=0,"",VLOOKUP($A$6,Eigaben!$Y$17:$AH$103,9,1))</f>
        <v>#N/A</v>
      </c>
      <c r="H11" s="1112"/>
      <c r="I11" s="1112"/>
      <c r="J11" s="1112"/>
      <c r="K11" s="1112"/>
      <c r="L11" s="1112"/>
      <c r="M11" s="1126"/>
      <c r="N11" s="22"/>
      <c r="O11" s="1128" t="e">
        <f>IF(Eigaben!AF55=0,"",VLOOKUP($O$6,Eigaben!$Y$17:$AH$103,8,1))</f>
        <v>#N/A</v>
      </c>
      <c r="P11" s="1112"/>
      <c r="Q11" s="1112"/>
      <c r="R11" s="1112"/>
      <c r="S11" s="1112"/>
      <c r="T11" s="861"/>
      <c r="U11" s="1112" t="e">
        <f>IF(Eigaben!$P$54=0,"",VLOOKUP($O$6,Eigaben!$Y$17:$AH$103,9,1))</f>
        <v>#N/A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e">
        <f>VLOOKUP($A$6,Eigaben!$Y$17:$AH$103,10,1)</f>
        <v>#N/A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e">
        <f>VLOOKUP($O$6,Eigaben!$Y$17:$AH$103,10,1)</f>
        <v>#N/A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Eigaben!C10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367" t="str">
        <f>IF(Eigaben!C10=0," ",VLOOKUP(C13,Eigaben!$C$6:$V$22,13,0))</f>
        <v xml:space="preserve"> </v>
      </c>
      <c r="B15" s="1368"/>
      <c r="C15" s="1368"/>
      <c r="D15" s="1368"/>
      <c r="E15" s="1368"/>
      <c r="F15" s="1368"/>
      <c r="G15" s="1369" t="str">
        <f>IF(Eigaben!C10=0," ",VLOOKUP(C13,Eigaben!$C$6:$V$22,14,0))</f>
        <v xml:space="preserve"> </v>
      </c>
      <c r="H15" s="1369"/>
      <c r="I15" s="1369"/>
      <c r="J15" s="1369"/>
      <c r="K15" s="1369"/>
      <c r="L15" s="1195" t="str">
        <f>IF(Eigaben!C10=0,"",VLOOKUP(C13,Eigaben!$C$6:$V$22,15,0))</f>
        <v/>
      </c>
      <c r="M15" s="1196"/>
      <c r="N15" s="1196"/>
      <c r="O15" s="1196"/>
      <c r="P15" s="1196"/>
      <c r="Q15" s="1196"/>
      <c r="R15" s="1196"/>
      <c r="S15" s="1197"/>
      <c r="T15" s="1183" t="str">
        <f>IF(Eigaben!C10=0,"",VLOOKUP(C13,Eigaben!C6:V22,16,0))</f>
        <v/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Eigaben!T10</f>
        <v>0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361" t="str">
        <f>IF(C16=0,"",VLOOKUP(C16,Schiri_25!A2:L181,3,1)&amp;" "&amp;VLOOKUP(C16,Schiri_25!A2:L181,2,1))</f>
        <v/>
      </c>
      <c r="B19" s="1362"/>
      <c r="C19" s="1362"/>
      <c r="D19" s="1362"/>
      <c r="E19" s="1362"/>
      <c r="F19" s="1363"/>
      <c r="G19" s="860" t="str">
        <f>IF(C16=0,"",VLOOKUP(C16,Schiri_25!A2:L181,9,1))</f>
        <v/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364" t="str">
        <f>IF(C16=0,"",VLOOKUP(C16,Schiri_25!A2:L181,12,1))</f>
        <v/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#VALUE!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</f>
        <v>5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Eigaben!S10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679" priority="20" stopIfTrue="1" operator="greaterThan">
      <formula>$C$41</formula>
    </cfRule>
  </conditionalFormatting>
  <conditionalFormatting sqref="C41">
    <cfRule type="cellIs" dxfId="678" priority="10" stopIfTrue="1" operator="greaterThan">
      <formula>$A$41</formula>
    </cfRule>
    <cfRule type="cellIs" dxfId="677" priority="11" stopIfTrue="1" operator="greaterThan">
      <formula>$A$41</formula>
    </cfRule>
  </conditionalFormatting>
  <conditionalFormatting sqref="D41">
    <cfRule type="cellIs" dxfId="676" priority="19" stopIfTrue="1" operator="greaterThan">
      <formula>$F$41</formula>
    </cfRule>
  </conditionalFormatting>
  <conditionalFormatting sqref="F41">
    <cfRule type="cellIs" dxfId="675" priority="9" stopIfTrue="1" operator="greaterThan">
      <formula>$D$41</formula>
    </cfRule>
  </conditionalFormatting>
  <conditionalFormatting sqref="G41">
    <cfRule type="cellIs" dxfId="674" priority="18" stopIfTrue="1" operator="greaterThan">
      <formula>$I$41</formula>
    </cfRule>
  </conditionalFormatting>
  <conditionalFormatting sqref="I41">
    <cfRule type="cellIs" dxfId="673" priority="8" stopIfTrue="1" operator="greaterThan">
      <formula>$G$41</formula>
    </cfRule>
  </conditionalFormatting>
  <conditionalFormatting sqref="J41">
    <cfRule type="cellIs" dxfId="672" priority="17" stopIfTrue="1" operator="greaterThan">
      <formula>$L$41</formula>
    </cfRule>
  </conditionalFormatting>
  <conditionalFormatting sqref="L41">
    <cfRule type="cellIs" dxfId="671" priority="7" stopIfTrue="1" operator="greaterThan">
      <formula>$J$41</formula>
    </cfRule>
  </conditionalFormatting>
  <conditionalFormatting sqref="M41">
    <cfRule type="cellIs" dxfId="670" priority="16" stopIfTrue="1" operator="greaterThan">
      <formula>$O$41</formula>
    </cfRule>
  </conditionalFormatting>
  <conditionalFormatting sqref="O41">
    <cfRule type="cellIs" dxfId="669" priority="6" stopIfTrue="1" operator="greaterThan">
      <formula>$M$41</formula>
    </cfRule>
  </conditionalFormatting>
  <conditionalFormatting sqref="P41">
    <cfRule type="cellIs" dxfId="668" priority="15" stopIfTrue="1" operator="greaterThan">
      <formula>$R$41</formula>
    </cfRule>
  </conditionalFormatting>
  <conditionalFormatting sqref="R41">
    <cfRule type="cellIs" dxfId="667" priority="5" stopIfTrue="1" operator="greaterThan">
      <formula>$P$41</formula>
    </cfRule>
  </conditionalFormatting>
  <conditionalFormatting sqref="S41">
    <cfRule type="cellIs" dxfId="666" priority="14" stopIfTrue="1" operator="greaterThan">
      <formula>$U$41</formula>
    </cfRule>
  </conditionalFormatting>
  <conditionalFormatting sqref="U41">
    <cfRule type="cellIs" dxfId="665" priority="1" stopIfTrue="1" operator="greaterThan">
      <formula>$S$41</formula>
    </cfRule>
    <cfRule type="cellIs" dxfId="664" priority="4" stopIfTrue="1" operator="greaterThan">
      <formula>$U$41</formula>
    </cfRule>
  </conditionalFormatting>
  <conditionalFormatting sqref="V41">
    <cfRule type="cellIs" dxfId="663" priority="13" stopIfTrue="1" operator="greaterThan">
      <formula>$X$41</formula>
    </cfRule>
  </conditionalFormatting>
  <conditionalFormatting sqref="X41">
    <cfRule type="cellIs" dxfId="662" priority="3" stopIfTrue="1" operator="greaterThan">
      <formula>$V$41</formula>
    </cfRule>
  </conditionalFormatting>
  <conditionalFormatting sqref="Y41">
    <cfRule type="cellIs" dxfId="661" priority="12" stopIfTrue="1" operator="greaterThan">
      <formula>$AA$41</formula>
    </cfRule>
  </conditionalFormatting>
  <conditionalFormatting sqref="AA41">
    <cfRule type="cellIs" dxfId="660" priority="2" stopIfTrue="1" operator="greaterThan">
      <formula>$Y$41</formula>
    </cfRule>
  </conditionalFormatting>
  <hyperlinks>
    <hyperlink ref="R45" r:id="rId1" display="pabst@swissfaustball.ch" xr:uid="{93A71203-A725-41C9-95E0-025EBE0B24D8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1404-0D8D-41B1-AC04-3ACA2196A4B7}">
  <sheetPr>
    <tabColor indexed="11"/>
  </sheetPr>
  <dimension ref="A1:AN61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E'!E1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E'!A5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str">
        <f>'Aufgebot E'!A15</f>
        <v xml:space="preserve"> </v>
      </c>
      <c r="F6" s="1343"/>
      <c r="G6" s="1343"/>
      <c r="H6" s="1343"/>
      <c r="I6" s="1343"/>
      <c r="J6" s="1320" t="s">
        <v>324</v>
      </c>
      <c r="K6" s="1320"/>
      <c r="L6" s="1321" t="str">
        <f>'Aufgebot E'!G15</f>
        <v xml:space="preserve"> </v>
      </c>
      <c r="M6" s="1321"/>
      <c r="N6" s="1321"/>
      <c r="O6" s="1320" t="s">
        <v>323</v>
      </c>
      <c r="P6" s="1320"/>
      <c r="Q6" s="1320"/>
      <c r="R6" s="1320"/>
      <c r="S6" s="1320" t="str">
        <f>'Aufgebot E'!L15</f>
        <v/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'Aufgebot E'!Y5</f>
        <v>E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59" t="e">
        <f>'Aufgebot E'!A8</f>
        <v>#N/A</v>
      </c>
      <c r="H8" s="1359"/>
      <c r="I8" s="1359"/>
      <c r="J8" s="1359"/>
      <c r="K8" s="1359"/>
      <c r="L8" s="1359"/>
      <c r="M8" s="1359"/>
      <c r="N8" s="1359"/>
      <c r="O8" s="1359"/>
      <c r="P8" s="1359"/>
      <c r="Q8" s="1360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e">
        <f>'Aufgebot E'!O8</f>
        <v>#N/A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E'!A19&amp;" "&amp;'Aufgebot E'!G19</f>
        <v xml:space="preserve"> 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e">
        <f>'Aufgebot E'!A9</f>
        <v>#N/A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E'!$G$34&gt;0,1,"")</f>
        <v/>
      </c>
      <c r="H30" s="249" t="str">
        <f>IF('Aufgebot E'!$G$34&gt;0,2,"")</f>
        <v/>
      </c>
      <c r="I30" s="249" t="str">
        <f>IF('Aufgebot E'!$G$34=3,3,"")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E'!$G$34&gt;0,1,"")</f>
        <v/>
      </c>
      <c r="H32" s="249" t="str">
        <f>IF('Aufgebot E'!$G$34&gt;0,2,"")</f>
        <v/>
      </c>
      <c r="I32" s="249" t="str">
        <f>IF('Aufgebot E'!$G$34=3,3,"")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E'!$G$34&gt;0,1,"")</f>
        <v/>
      </c>
      <c r="H34" s="249" t="str">
        <f>IF('Aufgebot E'!$G$34&gt;0,2,"")</f>
        <v/>
      </c>
      <c r="I34" s="249" t="str">
        <f>IF('Aufgebot E'!$G$34=3,3,"")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E'!$G$34&gt;0,1,"")</f>
        <v/>
      </c>
      <c r="H36" s="249" t="str">
        <f>IF('Aufgebot E'!$G$34&gt;0,2,"")</f>
        <v/>
      </c>
      <c r="I36" s="249" t="str">
        <f>IF('Aufgebot E'!$G$34=3,3,"")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E'!$G$34&gt;0,1,"")</f>
        <v/>
      </c>
      <c r="H39" s="249" t="str">
        <f>IF('Aufgebot E'!$G$34&gt;0,2,"")</f>
        <v/>
      </c>
      <c r="I39" s="249" t="str">
        <f>IF('Aufgebot E'!$G$34=3,3,"")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E'!$G$34&gt;0,1,"")</f>
        <v/>
      </c>
      <c r="H41" s="249" t="str">
        <f>IF('Aufgebot E'!$G$34&gt;0,2,"")</f>
        <v/>
      </c>
      <c r="I41" s="249" t="str">
        <f>IF('Aufgebot E'!$G$34=3,3,"")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E'!$G$34&gt;0,1,"")</f>
        <v/>
      </c>
      <c r="H43" s="249" t="str">
        <f>IF('Aufgebot E'!$G$34&gt;0,2,"")</f>
        <v/>
      </c>
      <c r="I43" s="249" t="str">
        <f>IF('Aufgebot E'!$G$34=3,3,"")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E'!$G$34&gt;0,1,"")</f>
        <v/>
      </c>
      <c r="H45" s="249" t="str">
        <f>IF('Aufgebot E'!$G$34&gt;0,2,"")</f>
        <v/>
      </c>
      <c r="I45" s="249" t="str">
        <f>IF('Aufgebot E'!$G$34=3,3,"")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E'!$G$34&gt;0,1,"")</f>
        <v/>
      </c>
      <c r="H48" s="249" t="str">
        <f>IF('Aufgebot E'!$G$34&gt;0,2,"")</f>
        <v/>
      </c>
      <c r="I48" s="249" t="str">
        <f>IF('Aufgebot E'!$G$34=3,3,"")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6" customHeight="1"/>
    <row r="59" spans="1:36" ht="14.25" customHeight="1">
      <c r="A59" s="1248" t="s">
        <v>246</v>
      </c>
      <c r="B59" s="1249"/>
      <c r="C59" s="1249"/>
      <c r="D59" s="1249"/>
      <c r="E59" s="1249"/>
      <c r="F59" s="1249"/>
      <c r="G59" s="1249"/>
      <c r="H59" s="1249"/>
      <c r="I59" s="1249"/>
      <c r="J59" s="1249"/>
      <c r="K59" s="1249"/>
      <c r="L59" s="1249"/>
      <c r="M59" s="1249"/>
      <c r="N59" s="1249"/>
      <c r="O59" s="1249"/>
      <c r="P59" s="1249"/>
      <c r="Q59" s="1249"/>
      <c r="R59" s="1249"/>
      <c r="S59" s="1249"/>
      <c r="T59" s="1249"/>
      <c r="U59" s="1249"/>
      <c r="V59" s="1249"/>
      <c r="W59" s="1249"/>
      <c r="X59" s="1250"/>
      <c r="Y59" s="1239" t="s">
        <v>342</v>
      </c>
      <c r="Z59" s="1240"/>
      <c r="AA59" s="1240"/>
      <c r="AB59" s="1240"/>
      <c r="AC59" s="1240"/>
      <c r="AD59" s="1241"/>
      <c r="AE59" s="1230">
        <f ca="1">TODAY()</f>
        <v>45897</v>
      </c>
      <c r="AF59" s="1231"/>
      <c r="AG59" s="1231"/>
      <c r="AH59" s="1231"/>
      <c r="AI59" s="1231"/>
      <c r="AJ59" s="1232"/>
    </row>
    <row r="60" spans="1:36" ht="12.75" customHeight="1">
      <c r="A60" s="1251"/>
      <c r="B60" s="1252"/>
      <c r="C60" s="1252"/>
      <c r="D60" s="1252"/>
      <c r="E60" s="1252"/>
      <c r="F60" s="1252"/>
      <c r="G60" s="1252"/>
      <c r="H60" s="1252"/>
      <c r="I60" s="1252"/>
      <c r="J60" s="1252"/>
      <c r="K60" s="1252"/>
      <c r="L60" s="1252"/>
      <c r="M60" s="1252"/>
      <c r="N60" s="1252"/>
      <c r="O60" s="1252"/>
      <c r="P60" s="1252"/>
      <c r="Q60" s="1252"/>
      <c r="R60" s="1252"/>
      <c r="S60" s="1252"/>
      <c r="T60" s="1252"/>
      <c r="U60" s="1252"/>
      <c r="V60" s="1252"/>
      <c r="W60" s="1252"/>
      <c r="X60" s="1253"/>
      <c r="Y60" s="1242"/>
      <c r="Z60" s="1243"/>
      <c r="AA60" s="1243"/>
      <c r="AB60" s="1243"/>
      <c r="AC60" s="1243"/>
      <c r="AD60" s="1244"/>
      <c r="AE60" s="1233"/>
      <c r="AF60" s="1234"/>
      <c r="AG60" s="1234"/>
      <c r="AH60" s="1234"/>
      <c r="AI60" s="1234"/>
      <c r="AJ60" s="1235"/>
    </row>
    <row r="61" spans="1:36" ht="18" customHeight="1">
      <c r="A61" s="1254"/>
      <c r="B61" s="1255"/>
      <c r="C61" s="1255"/>
      <c r="D61" s="1255"/>
      <c r="E61" s="1255"/>
      <c r="F61" s="1255"/>
      <c r="G61" s="1255"/>
      <c r="H61" s="1255"/>
      <c r="I61" s="1255"/>
      <c r="J61" s="1255"/>
      <c r="K61" s="1255"/>
      <c r="L61" s="1255"/>
      <c r="M61" s="1255"/>
      <c r="N61" s="1255"/>
      <c r="O61" s="1255"/>
      <c r="P61" s="1255"/>
      <c r="Q61" s="1255"/>
      <c r="R61" s="1255"/>
      <c r="S61" s="1255"/>
      <c r="T61" s="1255"/>
      <c r="U61" s="1255"/>
      <c r="V61" s="1255"/>
      <c r="W61" s="1255"/>
      <c r="X61" s="1256"/>
      <c r="Y61" s="1245"/>
      <c r="Z61" s="1246"/>
      <c r="AA61" s="1246"/>
      <c r="AB61" s="1246"/>
      <c r="AC61" s="1246"/>
      <c r="AD61" s="1247"/>
      <c r="AE61" s="1236"/>
      <c r="AF61" s="1237"/>
      <c r="AG61" s="1237"/>
      <c r="AH61" s="1237"/>
      <c r="AI61" s="1237"/>
      <c r="AJ61" s="1238"/>
    </row>
  </sheetData>
  <mergeCells count="90">
    <mergeCell ref="A55:AJ55"/>
    <mergeCell ref="A56:Q56"/>
    <mergeCell ref="R56:AJ56"/>
    <mergeCell ref="A57:Q57"/>
    <mergeCell ref="R57:AJ57"/>
    <mergeCell ref="A59:X61"/>
    <mergeCell ref="Y59:AD61"/>
    <mergeCell ref="AE59:AJ61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26:F26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23:E23"/>
    <mergeCell ref="F23:R23"/>
    <mergeCell ref="AB23:AJ23"/>
    <mergeCell ref="G24:R24"/>
    <mergeCell ref="S24:X24"/>
    <mergeCell ref="Y24:AJ24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9657-CFCF-49C4-AB84-4A48F4881605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1</v>
      </c>
      <c r="F2" s="371">
        <f>A2</f>
        <v>1</v>
      </c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/>
      <c r="O4" s="153"/>
      <c r="AA4" s="118"/>
    </row>
    <row r="5" spans="1:33" ht="19.5" customHeight="1">
      <c r="A5" s="1192" t="str">
        <f>VLOOKUP(A2,Eigaben!Y8:AC14,5,1)</f>
        <v>Vorrunde</v>
      </c>
      <c r="B5" s="1182"/>
      <c r="C5" s="1182"/>
      <c r="D5" s="1182"/>
      <c r="E5" s="1182"/>
      <c r="F5" s="1211">
        <f>VLOOKUP($A$2,Eigaben!$Y$8:$AB$14,2,1)</f>
        <v>45754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45772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1182" t="s">
        <v>618</v>
      </c>
      <c r="Z5" s="1182"/>
      <c r="AA5" s="1193"/>
      <c r="AC5" s="156"/>
      <c r="AD5" s="265"/>
      <c r="AE5" s="172"/>
    </row>
    <row r="6" spans="1:33" ht="9" customHeight="1" thickBot="1">
      <c r="A6" s="363">
        <f>Eigaben!F11</f>
        <v>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Eigaben!G11</f>
        <v>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e">
        <f>(VLOOKUP($A$6,Eigaben!$Y$17:$Z$103,2,0))</f>
        <v>#N/A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e">
        <f>(VLOOKUP($O$6,Eigaben!$Y$17:$Z$103,2,0))</f>
        <v>#N/A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e">
        <f>VLOOKUP($A$6,Eigaben!$Y$17:$AH$103,3,1)&amp;" "&amp;VLOOKUP(A6,Eigaben!Y17:AH103,4,1)</f>
        <v>#N/A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e">
        <f>VLOOKUP($O$6,Eigaben!$Y$17:$AH$103,3,1)&amp;" "&amp;VLOOKUP($O$6,Eigaben!$Y$17:$AH$103,4,1)</f>
        <v>#N/A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e">
        <f>VLOOKUP($A$6,Eigaben!$Y$17:$AH$103,5,1)</f>
        <v>#N/A</v>
      </c>
      <c r="B10" s="1187"/>
      <c r="C10" s="1187"/>
      <c r="D10" s="1187"/>
      <c r="E10" s="1187"/>
      <c r="F10" s="1187"/>
      <c r="G10" s="1111" t="e">
        <f>VLOOKUP($A$6,Eigaben!$Y$17:$AH$103,6,1)&amp;" "&amp;VLOOKUP(A6,Eigaben!$Y$17:$AH$103,7,1)</f>
        <v>#N/A</v>
      </c>
      <c r="H10" s="1112"/>
      <c r="I10" s="1112"/>
      <c r="J10" s="1112"/>
      <c r="K10" s="1112"/>
      <c r="L10" s="1112"/>
      <c r="M10" s="1113"/>
      <c r="N10" s="22"/>
      <c r="O10" s="1229" t="e">
        <f>VLOOKUP($O$6,Eigaben!$Y$17:$AH$103,5,1)</f>
        <v>#N/A</v>
      </c>
      <c r="P10" s="1187"/>
      <c r="Q10" s="1187"/>
      <c r="R10" s="1187"/>
      <c r="S10" s="1187"/>
      <c r="T10" s="1187"/>
      <c r="U10" s="1187" t="e">
        <f>VLOOKUP($O$6,Eigaben!$Y$17:$AV$103,6,1)&amp;" "&amp;VLOOKUP($O$6,Eigaben!$Y$17:$AV$103,7,1)</f>
        <v>#N/A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e">
        <f>IF(Eigaben!AF54=0,"",VLOOKUP($A$6,Eigaben!$Y$17:$AH$103,8,1))</f>
        <v>#N/A</v>
      </c>
      <c r="B11" s="1112"/>
      <c r="C11" s="1112"/>
      <c r="D11" s="1112"/>
      <c r="E11" s="1112"/>
      <c r="F11" s="861"/>
      <c r="G11" s="860" t="e">
        <f>IF(Eigaben!$AG$54=0,"",VLOOKUP($A$6,Eigaben!$Y$17:$AH$103,9,1))</f>
        <v>#N/A</v>
      </c>
      <c r="H11" s="1112"/>
      <c r="I11" s="1112"/>
      <c r="J11" s="1112"/>
      <c r="K11" s="1112"/>
      <c r="L11" s="1112"/>
      <c r="M11" s="1126"/>
      <c r="N11" s="22"/>
      <c r="O11" s="1128" t="e">
        <f>IF(Eigaben!AF55=0,"",VLOOKUP($O$6,Eigaben!$Y$17:$AH$103,8,1))</f>
        <v>#N/A</v>
      </c>
      <c r="P11" s="1112"/>
      <c r="Q11" s="1112"/>
      <c r="R11" s="1112"/>
      <c r="S11" s="1112"/>
      <c r="T11" s="861"/>
      <c r="U11" s="1112" t="e">
        <f>IF(Eigaben!$P$54=0,"",VLOOKUP($O$6,Eigaben!$Y$17:$AH$103,9,1))</f>
        <v>#N/A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e">
        <f>VLOOKUP($A$6,Eigaben!$Y$17:$AH$103,10,1)</f>
        <v>#N/A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e">
        <f>VLOOKUP($O$6,Eigaben!$Y$17:$AH$103,10,1)</f>
        <v>#N/A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Eigaben!C11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e">
        <f>IF(Eigaben!C6=0," ",VLOOKUP(C13,Eigaben!$C$6:$V$22,13,0))</f>
        <v>#N/A</v>
      </c>
      <c r="B15" s="1199"/>
      <c r="C15" s="1199"/>
      <c r="D15" s="1199"/>
      <c r="E15" s="1199"/>
      <c r="F15" s="1199"/>
      <c r="G15" s="1194" t="e">
        <f>IF(Eigaben!C6=0," ",VLOOKUP(C13,Eigaben!$C$6:$V$22,14,0))</f>
        <v>#N/A</v>
      </c>
      <c r="H15" s="1194"/>
      <c r="I15" s="1194"/>
      <c r="J15" s="1194"/>
      <c r="K15" s="1194"/>
      <c r="L15" s="1195" t="e">
        <f>IF(Eigaben!C6=0,"",VLOOKUP(C13,Eigaben!$C$6:$V$22,15,0))</f>
        <v>#N/A</v>
      </c>
      <c r="M15" s="1196"/>
      <c r="N15" s="1196"/>
      <c r="O15" s="1196"/>
      <c r="P15" s="1196"/>
      <c r="Q15" s="1196"/>
      <c r="R15" s="1196"/>
      <c r="S15" s="1197"/>
      <c r="T15" s="1183" t="e">
        <f>IF(Eigaben!C6=0,"",VLOOKUP(C13,Eigaben!C6:V22,16,0))</f>
        <v>#N/A</v>
      </c>
      <c r="U15" s="1184"/>
      <c r="V15" s="1184"/>
      <c r="W15" s="1184"/>
      <c r="X15" s="1184"/>
      <c r="Y15" s="1184"/>
      <c r="Z15" s="1184"/>
      <c r="AA15" s="1185"/>
      <c r="AC15" s="1154"/>
      <c r="AD15" s="1154"/>
      <c r="AG15" s="12"/>
    </row>
    <row r="16" spans="1:33" ht="12.75" customHeight="1" thickBot="1">
      <c r="A16" s="357"/>
      <c r="B16" s="358"/>
      <c r="C16" s="359">
        <f>Eigaben!T11</f>
        <v>0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1154"/>
      <c r="AD16" s="1154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158"/>
      <c r="N17" s="1158"/>
      <c r="O17" s="1158"/>
      <c r="P17" s="1158"/>
      <c r="Q17" s="1159"/>
      <c r="R17" s="1158"/>
      <c r="S17" s="1158"/>
      <c r="T17" s="361"/>
      <c r="U17" s="1160"/>
      <c r="V17" s="1160"/>
      <c r="W17" s="1160"/>
      <c r="X17" s="1160"/>
      <c r="Y17" s="1161"/>
      <c r="Z17" s="1161"/>
      <c r="AA17" s="1162"/>
      <c r="AB17" s="156"/>
      <c r="AC17" s="1108"/>
      <c r="AD17" s="1108"/>
      <c r="AE17" s="182"/>
      <c r="AF17" s="183"/>
    </row>
    <row r="18" spans="1:39" ht="6" customHeight="1">
      <c r="A18" s="121"/>
      <c r="AA18" s="118"/>
      <c r="AC18" s="1221"/>
      <c r="AD18" s="1221"/>
    </row>
    <row r="19" spans="1:39" ht="18" customHeight="1">
      <c r="A19" s="1134" t="str">
        <f>IF(C16=0,"",VLOOKUP(C16,Schiri_25!A2:L181,3,1)&amp;" "&amp;VLOOKUP(C16,Schiri_25!A2:L181,2,1))</f>
        <v/>
      </c>
      <c r="B19" s="1135"/>
      <c r="C19" s="1135"/>
      <c r="D19" s="1135"/>
      <c r="E19" s="1135"/>
      <c r="F19" s="1136"/>
      <c r="G19" s="860" t="str">
        <f>IF(C16=0,"",VLOOKUP(C16,Schiri_25!A2:L181,9,1))</f>
        <v/>
      </c>
      <c r="H19" s="1112"/>
      <c r="I19" s="1112"/>
      <c r="J19" s="1112"/>
      <c r="K19" s="1112"/>
      <c r="L19" s="1112"/>
      <c r="M19" s="1112" t="str">
        <f>IF(C16=0,"",IF(VLOOKUP(C16,Schiri_25!A2:M122,8,1)=0,"",VLOOKUP(C16,Schiri_25!A2:M122,8,1)))</f>
        <v/>
      </c>
      <c r="N19" s="1112"/>
      <c r="O19" s="1112"/>
      <c r="P19" s="1112"/>
      <c r="Q19" s="861"/>
      <c r="R19" s="1130" t="str">
        <f>IF(C16=0,"",VLOOKUP(C16,Schiri_25!A2:L181,12,1))</f>
        <v/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1221"/>
      <c r="AD19" s="1221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1221"/>
      <c r="AD20" s="1221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1155"/>
      <c r="AD24" s="1155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1155"/>
      <c r="AD25" s="1155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Eigaben!V11</f>
        <v>0</v>
      </c>
      <c r="Z27" s="1222"/>
      <c r="AA27" s="1223"/>
      <c r="AC27" s="1108"/>
      <c r="AD27" s="1108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6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C18:AD20"/>
    <mergeCell ref="A19:F19"/>
    <mergeCell ref="G19:L19"/>
    <mergeCell ref="M19:Q19"/>
    <mergeCell ref="R19:AA19"/>
    <mergeCell ref="A20:AA20"/>
    <mergeCell ref="AC15:AD16"/>
    <mergeCell ref="A17:L17"/>
    <mergeCell ref="M17:P17"/>
    <mergeCell ref="Q17:S17"/>
    <mergeCell ref="U17:X17"/>
    <mergeCell ref="Y17:AA17"/>
    <mergeCell ref="AC17:AD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  <mergeCell ref="Y5:AA5"/>
  </mergeCells>
  <conditionalFormatting sqref="A41">
    <cfRule type="cellIs" dxfId="659" priority="20" stopIfTrue="1" operator="greaterThan">
      <formula>$C$41</formula>
    </cfRule>
  </conditionalFormatting>
  <conditionalFormatting sqref="C41">
    <cfRule type="cellIs" dxfId="658" priority="10" stopIfTrue="1" operator="greaterThan">
      <formula>$A$41</formula>
    </cfRule>
    <cfRule type="cellIs" dxfId="657" priority="11" stopIfTrue="1" operator="greaterThan">
      <formula>$A$41</formula>
    </cfRule>
  </conditionalFormatting>
  <conditionalFormatting sqref="D41">
    <cfRule type="cellIs" dxfId="656" priority="19" stopIfTrue="1" operator="greaterThan">
      <formula>$F$41</formula>
    </cfRule>
  </conditionalFormatting>
  <conditionalFormatting sqref="F41">
    <cfRule type="cellIs" dxfId="655" priority="9" stopIfTrue="1" operator="greaterThan">
      <formula>$D$41</formula>
    </cfRule>
  </conditionalFormatting>
  <conditionalFormatting sqref="G41">
    <cfRule type="cellIs" dxfId="654" priority="18" stopIfTrue="1" operator="greaterThan">
      <formula>$I$41</formula>
    </cfRule>
  </conditionalFormatting>
  <conditionalFormatting sqref="I41">
    <cfRule type="cellIs" dxfId="653" priority="8" stopIfTrue="1" operator="greaterThan">
      <formula>$G$41</formula>
    </cfRule>
  </conditionalFormatting>
  <conditionalFormatting sqref="J41">
    <cfRule type="cellIs" dxfId="652" priority="17" stopIfTrue="1" operator="greaterThan">
      <formula>$L$41</formula>
    </cfRule>
  </conditionalFormatting>
  <conditionalFormatting sqref="L41">
    <cfRule type="cellIs" dxfId="651" priority="7" stopIfTrue="1" operator="greaterThan">
      <formula>$J$41</formula>
    </cfRule>
  </conditionalFormatting>
  <conditionalFormatting sqref="M41">
    <cfRule type="cellIs" dxfId="650" priority="16" stopIfTrue="1" operator="greaterThan">
      <formula>$O$41</formula>
    </cfRule>
  </conditionalFormatting>
  <conditionalFormatting sqref="O41">
    <cfRule type="cellIs" dxfId="649" priority="6" stopIfTrue="1" operator="greaterThan">
      <formula>$M$41</formula>
    </cfRule>
  </conditionalFormatting>
  <conditionalFormatting sqref="P41">
    <cfRule type="cellIs" dxfId="648" priority="15" stopIfTrue="1" operator="greaterThan">
      <formula>$R$41</formula>
    </cfRule>
  </conditionalFormatting>
  <conditionalFormatting sqref="R41">
    <cfRule type="cellIs" dxfId="647" priority="5" stopIfTrue="1" operator="greaterThan">
      <formula>$P$41</formula>
    </cfRule>
  </conditionalFormatting>
  <conditionalFormatting sqref="S41">
    <cfRule type="cellIs" dxfId="646" priority="14" stopIfTrue="1" operator="greaterThan">
      <formula>$U$41</formula>
    </cfRule>
  </conditionalFormatting>
  <conditionalFormatting sqref="U41">
    <cfRule type="cellIs" dxfId="645" priority="1" stopIfTrue="1" operator="greaterThan">
      <formula>$S$41</formula>
    </cfRule>
    <cfRule type="cellIs" dxfId="644" priority="4" stopIfTrue="1" operator="greaterThan">
      <formula>$U$41</formula>
    </cfRule>
  </conditionalFormatting>
  <conditionalFormatting sqref="V41">
    <cfRule type="cellIs" dxfId="643" priority="13" stopIfTrue="1" operator="greaterThan">
      <formula>$X$41</formula>
    </cfRule>
  </conditionalFormatting>
  <conditionalFormatting sqref="X41">
    <cfRule type="cellIs" dxfId="642" priority="3" stopIfTrue="1" operator="greaterThan">
      <formula>$V$41</formula>
    </cfRule>
  </conditionalFormatting>
  <conditionalFormatting sqref="Y41">
    <cfRule type="cellIs" dxfId="641" priority="12" stopIfTrue="1" operator="greaterThan">
      <formula>$AA$41</formula>
    </cfRule>
  </conditionalFormatting>
  <conditionalFormatting sqref="AA41">
    <cfRule type="cellIs" dxfId="640" priority="2" stopIfTrue="1" operator="greaterThan">
      <formula>$Y$41</formula>
    </cfRule>
  </conditionalFormatting>
  <hyperlinks>
    <hyperlink ref="R45" r:id="rId1" display="pabst@swissfaustball.ch" xr:uid="{658A925F-A8B9-45AA-B24F-F6C29CB9EDF9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3F34-7592-46C8-8EE8-C57AB5BDA435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F'!E1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F'!A5</f>
        <v>Vorrunde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e">
        <f>'Aufgebot F'!A15</f>
        <v>#N/A</v>
      </c>
      <c r="F6" s="1343"/>
      <c r="G6" s="1343"/>
      <c r="H6" s="1343"/>
      <c r="I6" s="1343"/>
      <c r="J6" s="1320" t="s">
        <v>324</v>
      </c>
      <c r="K6" s="1320"/>
      <c r="L6" s="1321" t="e">
        <f>'Aufgebot F'!G15</f>
        <v>#N/A</v>
      </c>
      <c r="M6" s="1321"/>
      <c r="N6" s="1321"/>
      <c r="O6" s="1320" t="s">
        <v>323</v>
      </c>
      <c r="P6" s="1320"/>
      <c r="Q6" s="1320"/>
      <c r="R6" s="1320"/>
      <c r="S6" s="1320" t="e">
        <f>'Aufgebot F'!L15</f>
        <v>#N/A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 t="str">
        <f>'Aufgebot F'!Y5</f>
        <v>F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e">
        <f>'Aufgebot F'!A8</f>
        <v>#N/A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e">
        <f>'Aufgebot F'!O8</f>
        <v>#N/A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1307" t="s">
        <v>117</v>
      </c>
      <c r="B23" s="1308"/>
      <c r="C23" s="1308"/>
      <c r="D23" s="1308"/>
      <c r="E23" s="1308"/>
      <c r="F23" s="1309" t="str">
        <f>'Aufgebot F'!A19&amp;" "&amp;'Aufgebot F'!G19</f>
        <v xml:space="preserve"> </v>
      </c>
      <c r="G23" s="1309"/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e">
        <f>'Aufgebot F'!A9</f>
        <v>#N/A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F'!$G$34&gt;0,1,"")</f>
        <v/>
      </c>
      <c r="H30" s="249" t="str">
        <f>IF('Aufgebot F'!$G$34&gt;0,2,"")</f>
        <v/>
      </c>
      <c r="I30" s="249" t="str">
        <f>IF('Aufgebot F'!$G$34=3,3,"")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F'!$G$34&gt;0,1,"")</f>
        <v/>
      </c>
      <c r="H32" s="249" t="str">
        <f>IF('Aufgebot F'!$G$34&gt;0,2,"")</f>
        <v/>
      </c>
      <c r="I32" s="249" t="str">
        <f>IF('Aufgebot F'!$G$34=3,3,"")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F'!$G$34&gt;0,1,"")</f>
        <v/>
      </c>
      <c r="H34" s="249" t="str">
        <f>IF('Aufgebot F'!$G$34&gt;0,2,"")</f>
        <v/>
      </c>
      <c r="I34" s="249" t="str">
        <f>IF('Aufgebot F'!$G$34=3,3,"")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F'!$G$34&gt;0,1,"")</f>
        <v/>
      </c>
      <c r="H36" s="249" t="str">
        <f>IF('Aufgebot F'!$G$34&gt;0,2,"")</f>
        <v/>
      </c>
      <c r="I36" s="249" t="str">
        <f>IF('Aufgebot F'!$G$34=3,3,"")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F'!$G$34&gt;0,1,"")</f>
        <v/>
      </c>
      <c r="H39" s="249" t="str">
        <f>IF('Aufgebot F'!$G$34&gt;0,2,"")</f>
        <v/>
      </c>
      <c r="I39" s="249" t="str">
        <f>IF('Aufgebot F'!$G$34=3,3,"")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F'!$G$34&gt;0,1,"")</f>
        <v/>
      </c>
      <c r="H41" s="249" t="str">
        <f>IF('Aufgebot F'!$G$34&gt;0,2,"")</f>
        <v/>
      </c>
      <c r="I41" s="249" t="str">
        <f>IF('Aufgebot F'!$G$34=3,3,"")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F'!$G$34&gt;0,1,"")</f>
        <v/>
      </c>
      <c r="H43" s="249" t="str">
        <f>IF('Aufgebot F'!$G$34&gt;0,2,"")</f>
        <v/>
      </c>
      <c r="I43" s="249" t="str">
        <f>IF('Aufgebot F'!$G$34=3,3,"")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F'!$G$34&gt;0,1,"")</f>
        <v/>
      </c>
      <c r="H45" s="249" t="str">
        <f>IF('Aufgebot F'!$G$34&gt;0,2,"")</f>
        <v/>
      </c>
      <c r="I45" s="249" t="str">
        <f>IF('Aufgebot F'!$G$34=3,3,"")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F'!$G$34&gt;0,1,"")</f>
        <v/>
      </c>
      <c r="H48" s="249" t="str">
        <f>IF('Aufgebot F'!$G$34&gt;0,2,"")</f>
        <v/>
      </c>
      <c r="I48" s="249" t="str">
        <f>IF('Aufgebot F'!$G$34=3,3,"")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90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26:F26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23:E23"/>
    <mergeCell ref="F23:R23"/>
    <mergeCell ref="AB23:AJ23"/>
    <mergeCell ref="G24:R24"/>
    <mergeCell ref="S24:X24"/>
    <mergeCell ref="Y24:AJ24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2</v>
      </c>
      <c r="D2" s="503" t="str">
        <f>VLOOKUP(A2,Eigaben!Y8:AC14,5,0)</f>
        <v xml:space="preserve">1/16 Final </v>
      </c>
      <c r="F2" s="371"/>
      <c r="I2" s="503">
        <v>2</v>
      </c>
      <c r="Y2" s="30"/>
    </row>
    <row r="3" spans="1:33" ht="20.149999999999999" customHeight="1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372">
        <f>VLOOKUP($A$2,Eigaben!$Y$8:$AC$14,2,1)</f>
        <v>45782</v>
      </c>
      <c r="G5" s="1373"/>
      <c r="H5" s="1373"/>
      <c r="I5" s="1373"/>
      <c r="J5" s="1373"/>
      <c r="K5" s="1373"/>
      <c r="L5" s="1373"/>
      <c r="M5" s="1374" t="s">
        <v>614</v>
      </c>
      <c r="N5" s="1374"/>
      <c r="O5" s="1373">
        <f>VLOOKUP($A$2,Eigaben!$Y$8:$AB$14,3,1)</f>
        <v>45821</v>
      </c>
      <c r="P5" s="1373"/>
      <c r="Q5" s="1373"/>
      <c r="R5" s="1373"/>
      <c r="S5" s="1373"/>
      <c r="T5" s="1375"/>
      <c r="U5" s="1376" t="s">
        <v>155</v>
      </c>
      <c r="V5" s="1377"/>
      <c r="W5" s="1377"/>
      <c r="X5" s="1378"/>
      <c r="Y5" s="395">
        <v>1</v>
      </c>
      <c r="Z5" s="394"/>
      <c r="AA5" s="396"/>
      <c r="AC5" s="156"/>
      <c r="AD5" s="265"/>
      <c r="AE5" s="172"/>
    </row>
    <row r="6" spans="1:33" ht="9" customHeight="1" thickBot="1">
      <c r="A6" s="506">
        <f>Eigaben!F28</f>
        <v>56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Eigaben!G28</f>
        <v>71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379" t="s">
        <v>40</v>
      </c>
      <c r="B7" s="1380"/>
      <c r="C7" s="1380"/>
      <c r="D7" s="1380"/>
      <c r="E7" s="1380"/>
      <c r="F7" s="1380"/>
      <c r="G7" s="1380"/>
      <c r="H7" s="1380"/>
      <c r="I7" s="1380"/>
      <c r="J7" s="1380"/>
      <c r="K7" s="1380"/>
      <c r="L7" s="1380"/>
      <c r="M7" s="1381"/>
      <c r="N7" s="1382"/>
      <c r="O7" s="1379" t="s">
        <v>41</v>
      </c>
      <c r="P7" s="1380"/>
      <c r="Q7" s="1380"/>
      <c r="R7" s="1380"/>
      <c r="S7" s="1380"/>
      <c r="T7" s="1380"/>
      <c r="U7" s="1380"/>
      <c r="V7" s="1380"/>
      <c r="W7" s="1380"/>
      <c r="X7" s="1380"/>
      <c r="Y7" s="1380"/>
      <c r="Z7" s="1380"/>
      <c r="AA7" s="1381"/>
      <c r="AC7" s="961"/>
      <c r="AD7" s="961"/>
      <c r="AE7" s="961"/>
      <c r="AF7" s="961"/>
    </row>
    <row r="8" spans="1:33" ht="21" customHeight="1">
      <c r="A8" s="391" t="str">
        <f>(VLOOKUP($A$6,Eigaben!$Y$17:$Z$103,2,0))</f>
        <v>TSV Jona 1(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382"/>
      <c r="O8" s="1383" t="str">
        <f>(VLOOKUP($O$6,Eigaben!$Y$17:$Z$103,2,0))</f>
        <v>STV Wigoltingen   ( NLA )</v>
      </c>
      <c r="P8" s="1384"/>
      <c r="Q8" s="1384"/>
      <c r="R8" s="1384"/>
      <c r="S8" s="1384"/>
      <c r="T8" s="1384"/>
      <c r="U8" s="1384"/>
      <c r="V8" s="1384"/>
      <c r="W8" s="1384"/>
      <c r="X8" s="1384"/>
      <c r="Y8" s="1384"/>
      <c r="Z8" s="1384"/>
      <c r="AA8" s="1385"/>
      <c r="AC8" s="156"/>
      <c r="AD8" s="156"/>
      <c r="AE8" s="156"/>
      <c r="AF8" s="156"/>
    </row>
    <row r="9" spans="1:33" s="169" customFormat="1" ht="15" customHeight="1">
      <c r="A9" s="1386" t="str">
        <f>VLOOKUP($A$6,Eigaben!$Y$17:$AH$103,3,1)&amp;" "&amp;VLOOKUP(A6,Eigaben!Y17:AH103,4,1)</f>
        <v>Fabian Zahner</v>
      </c>
      <c r="B9" s="1189"/>
      <c r="C9" s="1189"/>
      <c r="D9" s="1189"/>
      <c r="E9" s="1189"/>
      <c r="F9" s="1189"/>
      <c r="G9" s="1189"/>
      <c r="H9" s="1189"/>
      <c r="I9" s="1189"/>
      <c r="J9" s="1189"/>
      <c r="K9" s="1189"/>
      <c r="L9" s="1189"/>
      <c r="M9" s="1387"/>
      <c r="N9" s="22"/>
      <c r="O9" s="1188" t="str">
        <f>VLOOKUP($O$6,Eigaben!$Y$17:$AH$103,3,1)&amp;" "&amp;VLOOKUP($O$6,Eigaben!$Y$17:$AH$103,4,1)</f>
        <v>David Berger</v>
      </c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387"/>
    </row>
    <row r="10" spans="1:33" s="169" customFormat="1" ht="17.25" customHeight="1">
      <c r="A10" s="1386" t="str">
        <f>VLOOKUP($A$6,Eigaben!$Y$17:$AH$103,5,1)</f>
        <v xml:space="preserve"> </v>
      </c>
      <c r="B10" s="1189"/>
      <c r="C10" s="1189"/>
      <c r="D10" s="1189"/>
      <c r="E10" s="1189"/>
      <c r="F10" s="1190"/>
      <c r="G10" s="1388" t="str">
        <f>VLOOKUP($A$6,Eigaben!$Y$17:$AH$103,6,1)&amp;" "&amp;VLOOKUP(A6,Eigaben!$Y$17:$AH$103,7,1)</f>
        <v xml:space="preserve">   </v>
      </c>
      <c r="H10" s="1189"/>
      <c r="I10" s="1189"/>
      <c r="J10" s="1189"/>
      <c r="K10" s="1189"/>
      <c r="L10" s="1189"/>
      <c r="M10" s="1387"/>
      <c r="N10" s="22"/>
      <c r="O10" s="1188" t="str">
        <f>VLOOKUP($O$6,Eigaben!$Y$17:$AH$103,5,1)</f>
        <v>Eggrainstr 25</v>
      </c>
      <c r="P10" s="1189"/>
      <c r="Q10" s="1189"/>
      <c r="R10" s="1189"/>
      <c r="S10" s="1189"/>
      <c r="T10" s="1190"/>
      <c r="U10" s="1388" t="str">
        <f>VLOOKUP($O$6,Eigaben!$Y$17:$AV$103,6,1)&amp;" "&amp;VLOOKUP($O$6,Eigaben!$Y$17:$AV$103,7,1)</f>
        <v>8556 Wigoltingen</v>
      </c>
      <c r="V10" s="1189"/>
      <c r="W10" s="1189"/>
      <c r="X10" s="1189"/>
      <c r="Y10" s="1189"/>
      <c r="Z10" s="1189"/>
      <c r="AA10" s="1387"/>
    </row>
    <row r="11" spans="1:33" s="169" customFormat="1" ht="17.25" customHeight="1">
      <c r="A11" s="1386" t="str">
        <f>IF(Eigaben!AF54=0,"",VLOOKUP($A$6,Eigaben!$Y$17:$AH$103,8,1))</f>
        <v xml:space="preserve"> </v>
      </c>
      <c r="B11" s="1189"/>
      <c r="C11" s="1189"/>
      <c r="D11" s="1189"/>
      <c r="E11" s="1189"/>
      <c r="F11" s="1190"/>
      <c r="G11" s="1388" t="str">
        <f>IF(Eigaben!$AG$54=0,"",VLOOKUP($A$6,Eigaben!$Y$17:$AH$103,9,1))</f>
        <v>076 592 09 17</v>
      </c>
      <c r="H11" s="1189"/>
      <c r="I11" s="1189"/>
      <c r="J11" s="1189"/>
      <c r="K11" s="1189"/>
      <c r="L11" s="1189"/>
      <c r="M11" s="1387"/>
      <c r="N11" s="22"/>
      <c r="O11" s="1188" t="str">
        <f>IF(Eigaben!AF55=0,"",VLOOKUP($O$6,Eigaben!$Y$17:$AH$103,8,1))</f>
        <v>052 763 10 81</v>
      </c>
      <c r="P11" s="1189"/>
      <c r="Q11" s="1189"/>
      <c r="R11" s="1189"/>
      <c r="S11" s="1189"/>
      <c r="T11" s="1190"/>
      <c r="U11" s="1388" t="str">
        <f>IF(Eigaben!$AG$54=0,"",VLOOKUP($O$6,Eigaben!$Y$17:$AH$103,9,1))</f>
        <v>079 388 63 87</v>
      </c>
      <c r="V11" s="1189"/>
      <c r="W11" s="1189"/>
      <c r="X11" s="1189"/>
      <c r="Y11" s="1189"/>
      <c r="Z11" s="1189"/>
      <c r="AA11" s="1387"/>
    </row>
    <row r="12" spans="1:33" s="169" customFormat="1" ht="18.75" customHeight="1" thickBot="1">
      <c r="A12" s="1389" t="str">
        <f>VLOOKUP($A$6,Eigaben!$Y$17:$AH$103,10,1)</f>
        <v>tkchef@fbjona.ch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390"/>
      <c r="N12" s="22"/>
      <c r="O12" s="1391" t="str">
        <f>VLOOKUP($O$6,Eigaben!$Y$17:$AH$103,10,1)</f>
        <v>d_berger@bluewin.ch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390"/>
    </row>
    <row r="13" spans="1:33" ht="9" customHeight="1">
      <c r="A13" s="368"/>
      <c r="B13" s="263"/>
      <c r="C13" s="504">
        <f>Eigaben!C28</f>
        <v>1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6" customHeight="1">
      <c r="A14" s="1392" t="s">
        <v>5</v>
      </c>
      <c r="B14" s="1377"/>
      <c r="C14" s="1377"/>
      <c r="D14" s="1377"/>
      <c r="E14" s="1377"/>
      <c r="F14" s="1378"/>
      <c r="G14" s="1376" t="s">
        <v>0</v>
      </c>
      <c r="H14" s="1377"/>
      <c r="I14" s="1377"/>
      <c r="J14" s="1377"/>
      <c r="K14" s="1378"/>
      <c r="L14" s="1376" t="s">
        <v>6</v>
      </c>
      <c r="M14" s="1377"/>
      <c r="N14" s="1377"/>
      <c r="O14" s="1377"/>
      <c r="P14" s="1377"/>
      <c r="Q14" s="1377"/>
      <c r="R14" s="1377"/>
      <c r="S14" s="1378"/>
      <c r="T14" s="1376" t="s">
        <v>133</v>
      </c>
      <c r="U14" s="1377"/>
      <c r="V14" s="1377"/>
      <c r="W14" s="1377"/>
      <c r="X14" s="1377"/>
      <c r="Y14" s="1377"/>
      <c r="Z14" s="1377"/>
      <c r="AA14" s="1393"/>
    </row>
    <row r="15" spans="1:33" ht="20.25" customHeight="1" thickBot="1">
      <c r="A15" s="1394">
        <f>IF(Eigaben!C28=0,"",VLOOKUP(C13,Eigaben!$C$28:$V$109,13,0))</f>
        <v>45827</v>
      </c>
      <c r="B15" s="1395"/>
      <c r="C15" s="1395"/>
      <c r="D15" s="1395"/>
      <c r="E15" s="1395"/>
      <c r="F15" s="1396"/>
      <c r="G15" s="1397">
        <f>IF(Eigaben!C28=0,"",VLOOKUP(C13,Eigaben!$C$28:$V$110,14,0))</f>
        <v>0.8125</v>
      </c>
      <c r="H15" s="1398"/>
      <c r="I15" s="1398"/>
      <c r="J15" s="1398"/>
      <c r="K15" s="1399"/>
      <c r="L15" s="1400" t="str">
        <f>IF(Eigaben!C28=0,"",VLOOKUP(C13,Eigaben!$C$28:$V$1110,15,0))</f>
        <v>Jona</v>
      </c>
      <c r="M15" s="1401"/>
      <c r="N15" s="1401"/>
      <c r="O15" s="1401"/>
      <c r="P15" s="1401"/>
      <c r="Q15" s="1401"/>
      <c r="R15" s="1401"/>
      <c r="S15" s="1402"/>
      <c r="T15" s="1400" t="str">
        <f>IF(Eigaben!C28=0,"",VLOOKUP(C13,Eigaben!$C$28:$V$110,16,0))</f>
        <v>Sprtplatz Grünfeld</v>
      </c>
      <c r="U15" s="1401"/>
      <c r="V15" s="1401"/>
      <c r="W15" s="1401"/>
      <c r="X15" s="1401"/>
      <c r="Y15" s="1401"/>
      <c r="Z15" s="1401"/>
      <c r="AA15" s="1402"/>
      <c r="AC15" s="397"/>
      <c r="AD15" s="397"/>
      <c r="AG15" s="12"/>
    </row>
    <row r="16" spans="1:33" ht="12.75" customHeight="1" thickBot="1">
      <c r="A16" s="357"/>
      <c r="B16" s="358"/>
      <c r="C16" s="505">
        <f>Eigaben!T28</f>
        <v>57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Manfred Friedlos</v>
      </c>
      <c r="B19" s="1362"/>
      <c r="C19" s="1362"/>
      <c r="D19" s="1362"/>
      <c r="E19" s="1362"/>
      <c r="F19" s="1363"/>
      <c r="G19" s="860" t="str">
        <f>IF(C16=0,"",VLOOKUP(C16,Schiri_25!A2:L181,9,1))</f>
        <v>+41 79 468 57 67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+41 55 440 83 80</v>
      </c>
      <c r="N19" s="1408"/>
      <c r="O19" s="1408"/>
      <c r="P19" s="1408"/>
      <c r="Q19" s="902"/>
      <c r="R19" s="1130" t="str">
        <f>IF(C16=0,"",VLOOKUP(C16,Schiri_25!A2:L181,12,1))</f>
        <v>manfred.friedlos@af21.ch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Eigaben!V28</f>
        <v>14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Eigaben!S28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C51:I51"/>
    <mergeCell ref="A44:AA44"/>
    <mergeCell ref="A45:I45"/>
    <mergeCell ref="J45:P45"/>
    <mergeCell ref="R45:Y45"/>
    <mergeCell ref="A48:T48"/>
    <mergeCell ref="U48:W48"/>
    <mergeCell ref="X48:AA48"/>
    <mergeCell ref="P40:R40"/>
    <mergeCell ref="S40:U40"/>
    <mergeCell ref="V40:X40"/>
    <mergeCell ref="Y40:AA40"/>
    <mergeCell ref="A42:C42"/>
    <mergeCell ref="D42:U42"/>
    <mergeCell ref="V42:X42"/>
    <mergeCell ref="Y42:AA42"/>
    <mergeCell ref="A40:C40"/>
    <mergeCell ref="D40:F40"/>
    <mergeCell ref="G40:I40"/>
    <mergeCell ref="J40:L40"/>
    <mergeCell ref="M40:O40"/>
    <mergeCell ref="AC34:AD34"/>
    <mergeCell ref="A35:AA35"/>
    <mergeCell ref="A37:AA37"/>
    <mergeCell ref="A38:AA38"/>
    <mergeCell ref="A39:AA39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T27:U27"/>
    <mergeCell ref="V27:W27"/>
    <mergeCell ref="Y27:AA27"/>
    <mergeCell ref="A33:AA33"/>
    <mergeCell ref="G34:H34"/>
    <mergeCell ref="M34:O34"/>
    <mergeCell ref="A23:L23"/>
    <mergeCell ref="M23:O23"/>
    <mergeCell ref="A25:C25"/>
    <mergeCell ref="G27:I27"/>
    <mergeCell ref="M27:S27"/>
    <mergeCell ref="A19:F19"/>
    <mergeCell ref="G19:L19"/>
    <mergeCell ref="M19:Q19"/>
    <mergeCell ref="R19:AA19"/>
    <mergeCell ref="A20:AA20"/>
    <mergeCell ref="A17:L17"/>
    <mergeCell ref="M17:P17"/>
    <mergeCell ref="Q17:S17"/>
    <mergeCell ref="U17:X17"/>
    <mergeCell ref="Y17:AA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639" priority="20" stopIfTrue="1" operator="greaterThan">
      <formula>$C$41</formula>
    </cfRule>
  </conditionalFormatting>
  <conditionalFormatting sqref="C41">
    <cfRule type="cellIs" dxfId="638" priority="10" stopIfTrue="1" operator="greaterThan">
      <formula>$A$41</formula>
    </cfRule>
    <cfRule type="cellIs" dxfId="637" priority="11" stopIfTrue="1" operator="greaterThan">
      <formula>$A$41</formula>
    </cfRule>
  </conditionalFormatting>
  <conditionalFormatting sqref="D41">
    <cfRule type="cellIs" dxfId="636" priority="19" stopIfTrue="1" operator="greaterThan">
      <formula>$F$41</formula>
    </cfRule>
  </conditionalFormatting>
  <conditionalFormatting sqref="F41">
    <cfRule type="cellIs" dxfId="635" priority="9" stopIfTrue="1" operator="greaterThan">
      <formula>$D$41</formula>
    </cfRule>
  </conditionalFormatting>
  <conditionalFormatting sqref="G41">
    <cfRule type="cellIs" dxfId="634" priority="18" stopIfTrue="1" operator="greaterThan">
      <formula>$I$41</formula>
    </cfRule>
  </conditionalFormatting>
  <conditionalFormatting sqref="I41">
    <cfRule type="cellIs" dxfId="633" priority="8" stopIfTrue="1" operator="greaterThan">
      <formula>$G$41</formula>
    </cfRule>
  </conditionalFormatting>
  <conditionalFormatting sqref="J41">
    <cfRule type="cellIs" dxfId="632" priority="17" stopIfTrue="1" operator="greaterThan">
      <formula>$L$41</formula>
    </cfRule>
  </conditionalFormatting>
  <conditionalFormatting sqref="L41">
    <cfRule type="cellIs" dxfId="631" priority="7" stopIfTrue="1" operator="greaterThan">
      <formula>$J$41</formula>
    </cfRule>
  </conditionalFormatting>
  <conditionalFormatting sqref="M41">
    <cfRule type="cellIs" dxfId="630" priority="16" stopIfTrue="1" operator="greaterThan">
      <formula>$O$41</formula>
    </cfRule>
  </conditionalFormatting>
  <conditionalFormatting sqref="O41">
    <cfRule type="cellIs" dxfId="629" priority="6" stopIfTrue="1" operator="greaterThan">
      <formula>$M$41</formula>
    </cfRule>
  </conditionalFormatting>
  <conditionalFormatting sqref="P41">
    <cfRule type="cellIs" dxfId="628" priority="15" stopIfTrue="1" operator="greaterThan">
      <formula>$R$41</formula>
    </cfRule>
  </conditionalFormatting>
  <conditionalFormatting sqref="R41">
    <cfRule type="cellIs" dxfId="627" priority="5" stopIfTrue="1" operator="greaterThan">
      <formula>$P$41</formula>
    </cfRule>
  </conditionalFormatting>
  <conditionalFormatting sqref="S41">
    <cfRule type="cellIs" dxfId="626" priority="14" stopIfTrue="1" operator="greaterThan">
      <formula>$U$41</formula>
    </cfRule>
  </conditionalFormatting>
  <conditionalFormatting sqref="U41">
    <cfRule type="cellIs" dxfId="625" priority="1" stopIfTrue="1" operator="greaterThan">
      <formula>$S$41</formula>
    </cfRule>
    <cfRule type="cellIs" dxfId="624" priority="4" stopIfTrue="1" operator="greaterThan">
      <formula>$U$41</formula>
    </cfRule>
  </conditionalFormatting>
  <conditionalFormatting sqref="V41">
    <cfRule type="cellIs" dxfId="623" priority="13" stopIfTrue="1" operator="greaterThan">
      <formula>$X$41</formula>
    </cfRule>
  </conditionalFormatting>
  <conditionalFormatting sqref="X41">
    <cfRule type="cellIs" dxfId="622" priority="3" stopIfTrue="1" operator="greaterThan">
      <formula>$V$41</formula>
    </cfRule>
  </conditionalFormatting>
  <conditionalFormatting sqref="Y41">
    <cfRule type="cellIs" dxfId="621" priority="12" stopIfTrue="1" operator="greaterThan">
      <formula>$AA$41</formula>
    </cfRule>
  </conditionalFormatting>
  <conditionalFormatting sqref="AA41">
    <cfRule type="cellIs" dxfId="620" priority="2" stopIfTrue="1" operator="greaterThan">
      <formula>$Y$41</formula>
    </cfRule>
  </conditionalFormatting>
  <hyperlinks>
    <hyperlink ref="R45" r:id="rId1" display="pabst@swissfaustball.ch" xr:uid="{00000000-0004-0000-0D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1"/>
  </sheetPr>
  <dimension ref="A1:AN59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1'!A15</f>
        <v>45827</v>
      </c>
      <c r="F6" s="1343"/>
      <c r="G6" s="1343"/>
      <c r="H6" s="1343"/>
      <c r="I6" s="1343"/>
      <c r="J6" s="1320" t="s">
        <v>324</v>
      </c>
      <c r="K6" s="1320"/>
      <c r="L6" s="1321">
        <f>'Aufgebot 1'!G15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1'!L15</f>
        <v>Jona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1'!Y5</f>
        <v>1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1'!A8</f>
        <v>TSV Jona 1( NLB O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1'!O8</f>
        <v>STV Wigoltingen 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2'!A$19&amp;" "&amp;'Aufgebot 2'!$G19</f>
        <v>Daniel Graf +41 79 431 31 31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1'!A9</f>
        <v>Fabian Zahner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1'!$G$34&gt;0,1,"")</f>
        <v>1</v>
      </c>
      <c r="H30" s="249">
        <f>IF('Aufgebot 1'!$G$34&gt;0,2,"")</f>
        <v>2</v>
      </c>
      <c r="I30" s="249" t="str">
        <f>IF('Aufgebot 1'!$G$34=3,3,"")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G30</f>
        <v>1</v>
      </c>
      <c r="H32" s="249">
        <f>H30</f>
        <v>2</v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G32</f>
        <v>1</v>
      </c>
      <c r="H34" s="249">
        <f>H32</f>
        <v>2</v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G34</f>
        <v>1</v>
      </c>
      <c r="H36" s="249">
        <f>H34</f>
        <v>2</v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G36</f>
        <v>1</v>
      </c>
      <c r="H39" s="249">
        <f>H36</f>
        <v>2</v>
      </c>
      <c r="I39" s="249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G39</f>
        <v>1</v>
      </c>
      <c r="H41" s="249">
        <f>H39</f>
        <v>2</v>
      </c>
      <c r="I41" s="249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G41</f>
        <v>1</v>
      </c>
      <c r="H43" s="249">
        <f>H41</f>
        <v>2</v>
      </c>
      <c r="I43" s="249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G43</f>
        <v>1</v>
      </c>
      <c r="H45" s="249">
        <f>H43</f>
        <v>2</v>
      </c>
      <c r="I45" s="249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G45</f>
        <v>1</v>
      </c>
      <c r="H48" s="249">
        <f>H45</f>
        <v>2</v>
      </c>
      <c r="I48" s="249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42" customFormat="1" ht="16" customHeight="1">
      <c r="A50" s="1313" t="s">
        <v>127</v>
      </c>
      <c r="B50" s="1314"/>
      <c r="C50" s="1315"/>
      <c r="D50" s="1315"/>
      <c r="E50" s="1316"/>
      <c r="F50" s="64" t="s">
        <v>103</v>
      </c>
      <c r="G50" s="64"/>
      <c r="H50" s="65"/>
      <c r="I50" s="1312" t="s">
        <v>102</v>
      </c>
      <c r="J50" s="1290"/>
      <c r="K50" s="1291"/>
      <c r="L50" s="1289" t="s">
        <v>101</v>
      </c>
      <c r="M50" s="1290"/>
      <c r="N50" s="1291"/>
      <c r="O50" s="1289" t="s">
        <v>100</v>
      </c>
      <c r="P50" s="1290"/>
      <c r="Q50" s="1291"/>
      <c r="R50" s="1289" t="s">
        <v>99</v>
      </c>
      <c r="S50" s="1290"/>
      <c r="T50" s="1290"/>
      <c r="U50" s="1291"/>
      <c r="V50" s="1289" t="s">
        <v>98</v>
      </c>
      <c r="W50" s="1290"/>
      <c r="X50" s="1291"/>
      <c r="Y50" s="1289" t="s">
        <v>97</v>
      </c>
      <c r="Z50" s="1290"/>
      <c r="AA50" s="1290"/>
      <c r="AB50" s="1312" t="s">
        <v>96</v>
      </c>
      <c r="AC50" s="1290"/>
      <c r="AD50" s="1291"/>
      <c r="AE50" s="1289" t="s">
        <v>95</v>
      </c>
      <c r="AF50" s="1290"/>
      <c r="AG50" s="1291"/>
      <c r="AH50" s="1257"/>
      <c r="AI50" s="1257"/>
      <c r="AJ50" s="1258"/>
    </row>
    <row r="51" spans="1:36" ht="19" customHeight="1" thickBot="1">
      <c r="A51" s="1317"/>
      <c r="B51" s="1318"/>
      <c r="C51" s="1318"/>
      <c r="D51" s="1318"/>
      <c r="E51" s="1319"/>
      <c r="F51" s="66"/>
      <c r="G51" s="130" t="s">
        <v>3</v>
      </c>
      <c r="H51" s="131"/>
      <c r="I51" s="132"/>
      <c r="J51" s="130" t="s">
        <v>3</v>
      </c>
      <c r="K51" s="131"/>
      <c r="L51" s="132"/>
      <c r="M51" s="130" t="s">
        <v>3</v>
      </c>
      <c r="N51" s="131"/>
      <c r="O51" s="132"/>
      <c r="P51" s="130" t="s">
        <v>3</v>
      </c>
      <c r="Q51" s="131"/>
      <c r="R51" s="132"/>
      <c r="S51" s="130" t="s">
        <v>3</v>
      </c>
      <c r="T51" s="130"/>
      <c r="U51" s="131"/>
      <c r="V51" s="132"/>
      <c r="W51" s="130" t="s">
        <v>3</v>
      </c>
      <c r="X51" s="131"/>
      <c r="Y51" s="132"/>
      <c r="Z51" s="130" t="s">
        <v>3</v>
      </c>
      <c r="AA51" s="131"/>
      <c r="AB51" s="132"/>
      <c r="AC51" s="130" t="s">
        <v>3</v>
      </c>
      <c r="AD51" s="131"/>
      <c r="AE51" s="132"/>
      <c r="AF51" s="130" t="s">
        <v>3</v>
      </c>
      <c r="AG51" s="67"/>
      <c r="AH51" s="1259"/>
      <c r="AI51" s="1259"/>
      <c r="AJ51" s="1260"/>
    </row>
    <row r="52" spans="1:36" ht="19" customHeight="1">
      <c r="A52" s="1269" t="s">
        <v>94</v>
      </c>
      <c r="B52" s="1270"/>
      <c r="C52" s="1271"/>
      <c r="D52" s="1271"/>
      <c r="E52" s="1272"/>
      <c r="F52" s="68"/>
      <c r="G52" s="228"/>
      <c r="H52" s="69"/>
      <c r="I52" s="68"/>
      <c r="J52" s="228"/>
      <c r="K52" s="69"/>
      <c r="L52" s="68"/>
      <c r="M52" s="228"/>
      <c r="N52" s="69"/>
      <c r="O52" s="68"/>
      <c r="P52" s="228"/>
      <c r="Q52" s="69"/>
      <c r="R52" s="68"/>
      <c r="S52" s="228"/>
      <c r="T52" s="228"/>
      <c r="U52" s="69"/>
      <c r="V52" s="68"/>
      <c r="W52" s="228"/>
      <c r="X52" s="69"/>
      <c r="Y52" s="68"/>
      <c r="Z52" s="1282" t="s">
        <v>151</v>
      </c>
      <c r="AA52" s="1283"/>
      <c r="AB52" s="1283"/>
      <c r="AC52" s="1283"/>
      <c r="AD52" s="1284"/>
      <c r="AE52" s="1276" t="s">
        <v>128</v>
      </c>
      <c r="AF52" s="1277"/>
      <c r="AG52" s="1277"/>
      <c r="AH52" s="1277"/>
      <c r="AI52" s="1277"/>
      <c r="AJ52" s="1278"/>
    </row>
    <row r="53" spans="1:36" ht="19" customHeight="1" thickBot="1">
      <c r="A53" s="1273"/>
      <c r="B53" s="1274"/>
      <c r="C53" s="1274"/>
      <c r="D53" s="1274"/>
      <c r="E53" s="1275"/>
      <c r="F53" s="70"/>
      <c r="G53" s="71"/>
      <c r="H53" s="206"/>
      <c r="I53" s="70"/>
      <c r="J53" s="71"/>
      <c r="K53" s="206"/>
      <c r="L53" s="70"/>
      <c r="M53" s="71"/>
      <c r="N53" s="206"/>
      <c r="O53" s="70"/>
      <c r="P53" s="71"/>
      <c r="Q53" s="206"/>
      <c r="R53" s="70"/>
      <c r="S53" s="71"/>
      <c r="T53" s="71"/>
      <c r="U53" s="206"/>
      <c r="V53" s="70"/>
      <c r="W53" s="71"/>
      <c r="X53" s="206"/>
      <c r="Y53" s="70"/>
      <c r="Z53" s="1261" t="s">
        <v>3</v>
      </c>
      <c r="AA53" s="1262"/>
      <c r="AB53" s="1262"/>
      <c r="AC53" s="1262"/>
      <c r="AD53" s="1263"/>
      <c r="AE53" s="1279" t="s">
        <v>3</v>
      </c>
      <c r="AF53" s="1280"/>
      <c r="AG53" s="1280"/>
      <c r="AH53" s="1280"/>
      <c r="AI53" s="1280"/>
      <c r="AJ53" s="1281"/>
    </row>
    <row r="54" spans="1:36" ht="17.149999999999999" customHeight="1" thickBot="1">
      <c r="A54" s="1285" t="s">
        <v>129</v>
      </c>
      <c r="B54" s="1286"/>
      <c r="C54" s="1287"/>
      <c r="D54" s="1287"/>
      <c r="E54" s="1287"/>
      <c r="F54" s="1287"/>
      <c r="G54" s="1287"/>
      <c r="H54" s="1287"/>
      <c r="I54" s="1287"/>
      <c r="J54" s="1287"/>
      <c r="K54" s="1287"/>
      <c r="L54" s="1287"/>
      <c r="M54" s="1287"/>
      <c r="N54" s="1287"/>
      <c r="O54" s="1287"/>
      <c r="P54" s="1287"/>
      <c r="Q54" s="1287"/>
      <c r="R54" s="1287"/>
      <c r="S54" s="1287"/>
      <c r="T54" s="1287"/>
      <c r="U54" s="1287"/>
      <c r="V54" s="1287"/>
      <c r="W54" s="1287"/>
      <c r="X54" s="1287"/>
      <c r="Y54" s="1287"/>
      <c r="Z54" s="1287"/>
      <c r="AA54" s="1287"/>
      <c r="AB54" s="1287"/>
      <c r="AC54" s="1287"/>
      <c r="AD54" s="1287"/>
      <c r="AE54" s="1287"/>
      <c r="AF54" s="1287"/>
      <c r="AG54" s="1287"/>
      <c r="AH54" s="1287"/>
      <c r="AI54" s="1287"/>
      <c r="AJ54" s="1288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14.25" customHeight="1">
      <c r="A57" s="1248" t="s">
        <v>246</v>
      </c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1250"/>
      <c r="Y57" s="1239" t="s">
        <v>342</v>
      </c>
      <c r="Z57" s="1240"/>
      <c r="AA57" s="1240"/>
      <c r="AB57" s="1240"/>
      <c r="AC57" s="1240"/>
      <c r="AD57" s="1241"/>
      <c r="AE57" s="1230">
        <f ca="1">TODAY()</f>
        <v>45897</v>
      </c>
      <c r="AF57" s="1231"/>
      <c r="AG57" s="1231"/>
      <c r="AH57" s="1231"/>
      <c r="AI57" s="1231"/>
      <c r="AJ57" s="1232"/>
    </row>
    <row r="58" spans="1:36" ht="12.75" customHeight="1">
      <c r="A58" s="1251"/>
      <c r="B58" s="1252"/>
      <c r="C58" s="1252"/>
      <c r="D58" s="1252"/>
      <c r="E58" s="1252"/>
      <c r="F58" s="1252"/>
      <c r="G58" s="1252"/>
      <c r="H58" s="1252"/>
      <c r="I58" s="1252"/>
      <c r="J58" s="1252"/>
      <c r="K58" s="1252"/>
      <c r="L58" s="1252"/>
      <c r="M58" s="1252"/>
      <c r="N58" s="1252"/>
      <c r="O58" s="1252"/>
      <c r="P58" s="1252"/>
      <c r="Q58" s="1252"/>
      <c r="R58" s="1252"/>
      <c r="S58" s="1252"/>
      <c r="T58" s="1252"/>
      <c r="U58" s="1252"/>
      <c r="V58" s="1252"/>
      <c r="W58" s="1252"/>
      <c r="X58" s="1253"/>
      <c r="Y58" s="1242"/>
      <c r="Z58" s="1243"/>
      <c r="AA58" s="1243"/>
      <c r="AB58" s="1243"/>
      <c r="AC58" s="1243"/>
      <c r="AD58" s="1244"/>
      <c r="AE58" s="1233"/>
      <c r="AF58" s="1234"/>
      <c r="AG58" s="1234"/>
      <c r="AH58" s="1234"/>
      <c r="AI58" s="1234"/>
      <c r="AJ58" s="1235"/>
    </row>
    <row r="59" spans="1:36" ht="18" customHeight="1">
      <c r="A59" s="1254"/>
      <c r="B59" s="1255"/>
      <c r="C59" s="1255"/>
      <c r="D59" s="1255"/>
      <c r="E59" s="1255"/>
      <c r="F59" s="1255"/>
      <c r="G59" s="1255"/>
      <c r="H59" s="1255"/>
      <c r="I59" s="1255"/>
      <c r="J59" s="1255"/>
      <c r="K59" s="1255"/>
      <c r="L59" s="1255"/>
      <c r="M59" s="1255"/>
      <c r="N59" s="1255"/>
      <c r="O59" s="1255"/>
      <c r="P59" s="1255"/>
      <c r="Q59" s="1255"/>
      <c r="R59" s="1255"/>
      <c r="S59" s="1255"/>
      <c r="T59" s="1255"/>
      <c r="U59" s="1255"/>
      <c r="V59" s="1255"/>
      <c r="W59" s="1255"/>
      <c r="X59" s="1256"/>
      <c r="Y59" s="1245"/>
      <c r="Z59" s="1246"/>
      <c r="AA59" s="1246"/>
      <c r="AB59" s="1246"/>
      <c r="AC59" s="1246"/>
      <c r="AD59" s="1247"/>
      <c r="AE59" s="1236"/>
      <c r="AF59" s="1237"/>
      <c r="AG59" s="1237"/>
      <c r="AH59" s="1237"/>
      <c r="AI59" s="1237"/>
      <c r="AJ59" s="1238"/>
    </row>
  </sheetData>
  <mergeCells count="89">
    <mergeCell ref="A54:AJ54"/>
    <mergeCell ref="A55:Q55"/>
    <mergeCell ref="R55:AJ55"/>
    <mergeCell ref="A56:Q56"/>
    <mergeCell ref="R56:AJ56"/>
    <mergeCell ref="A57:X59"/>
    <mergeCell ref="Y57:AD59"/>
    <mergeCell ref="AE57:AJ59"/>
    <mergeCell ref="AE50:AG50"/>
    <mergeCell ref="AH50:AJ51"/>
    <mergeCell ref="A52:E53"/>
    <mergeCell ref="Z52:AD52"/>
    <mergeCell ref="AE52:AJ52"/>
    <mergeCell ref="Z53:AD53"/>
    <mergeCell ref="AE53:AJ53"/>
    <mergeCell ref="L50:N50"/>
    <mergeCell ref="O50:Q50"/>
    <mergeCell ref="R50:U50"/>
    <mergeCell ref="V50:X50"/>
    <mergeCell ref="Y50:AA50"/>
    <mergeCell ref="AB50:AD50"/>
    <mergeCell ref="I50:K50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0:E51"/>
    <mergeCell ref="C32:C33"/>
    <mergeCell ref="D32:E33"/>
    <mergeCell ref="C34:C35"/>
    <mergeCell ref="D34:E35"/>
    <mergeCell ref="C36:C37"/>
    <mergeCell ref="D36:E37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AB23:AJ23"/>
    <mergeCell ref="G24:R24"/>
    <mergeCell ref="S24:X24"/>
    <mergeCell ref="Y24:AJ24"/>
    <mergeCell ref="A26:F26"/>
    <mergeCell ref="N26:P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X10:AI10"/>
    <mergeCell ref="A8:F8"/>
    <mergeCell ref="G8:Q8"/>
    <mergeCell ref="R8:R9"/>
    <mergeCell ref="S8:X8"/>
    <mergeCell ref="Y8:AI8"/>
    <mergeCell ref="G23:R23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  <mergeCell ref="AJ8:AJ9"/>
    <mergeCell ref="F9:Q9"/>
    <mergeCell ref="X9:AI9"/>
    <mergeCell ref="F10:Q10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2</v>
      </c>
      <c r="Z5" s="394"/>
      <c r="AA5" s="396"/>
      <c r="AC5" s="156"/>
      <c r="AD5" s="265"/>
      <c r="AE5" s="172"/>
    </row>
    <row r="6" spans="1:33" ht="9" customHeight="1" thickBot="1">
      <c r="A6" s="363">
        <f>Eigaben!F29</f>
        <v>58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Eigaben!G29</f>
        <v>54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TV Oberwinterthur  (NLB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Dozwil ( NLB O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Fabio Schiess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Josua Schlattinger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Hofwis 12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8352 Elsau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386" t="str">
        <f>IF(Eigaben!AF54=0,"",VLOOKUP($A$6,Eigaben!$Y$17:$AH$103,8,1))</f>
        <v xml:space="preserve"> </v>
      </c>
      <c r="B11" s="1189"/>
      <c r="C11" s="1189"/>
      <c r="D11" s="1189"/>
      <c r="E11" s="1189"/>
      <c r="F11" s="1190"/>
      <c r="G11" s="860" t="str">
        <f>IF(Eigaben!$AG$54=0,"",VLOOKUP($A$6,Eigaben!$Y$17:$AH$103,9,1))</f>
        <v>079 913 84 85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076 320 30 46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fabio.schiess@schiessag.ch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j.schlattinger@gmx.ch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Eigaben!C29</f>
        <v>2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45824</v>
      </c>
      <c r="B15" s="1199"/>
      <c r="C15" s="1199"/>
      <c r="D15" s="1199"/>
      <c r="E15" s="1199"/>
      <c r="F15" s="1199"/>
      <c r="G15" s="1194">
        <f>IF(Eigaben!C28=0,"",VLOOKUP(C13,Eigaben!$C$28:$V$110,14,0))</f>
        <v>0.8125</v>
      </c>
      <c r="H15" s="1194"/>
      <c r="I15" s="1194"/>
      <c r="J15" s="1194"/>
      <c r="K15" s="1194"/>
      <c r="L15" s="1195" t="str">
        <f>IF(Eigaben!C28=0,"",VLOOKUP(C13,Eigaben!$C$28:$V$1110,15,0))</f>
        <v>Oberwinterthur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Stadlerstrasse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Eigaben!T29</f>
        <v>7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Daniel Graf</v>
      </c>
      <c r="B19" s="1362"/>
      <c r="C19" s="1362"/>
      <c r="D19" s="1362"/>
      <c r="E19" s="1362"/>
      <c r="F19" s="1363"/>
      <c r="G19" s="860" t="str">
        <f>IF(C16=0,"",VLOOKUP(C16,Schiri_25!A2:L181,9,1))</f>
        <v>+41 79 431 31 31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darf@bluewin.ch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Eigaben!V29</f>
        <v>3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Eigaben!S29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protectedRanges>
    <protectedRange sqref="A1" name="Bereich1"/>
  </protectedRanges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619" priority="20" stopIfTrue="1" operator="greaterThan">
      <formula>$C$41</formula>
    </cfRule>
  </conditionalFormatting>
  <conditionalFormatting sqref="C41">
    <cfRule type="cellIs" dxfId="618" priority="10" stopIfTrue="1" operator="greaterThan">
      <formula>$A$41</formula>
    </cfRule>
    <cfRule type="cellIs" dxfId="617" priority="11" stopIfTrue="1" operator="greaterThan">
      <formula>$A$41</formula>
    </cfRule>
  </conditionalFormatting>
  <conditionalFormatting sqref="D41">
    <cfRule type="cellIs" dxfId="616" priority="19" stopIfTrue="1" operator="greaterThan">
      <formula>$F$41</formula>
    </cfRule>
  </conditionalFormatting>
  <conditionalFormatting sqref="F41">
    <cfRule type="cellIs" dxfId="615" priority="9" stopIfTrue="1" operator="greaterThan">
      <formula>$D$41</formula>
    </cfRule>
  </conditionalFormatting>
  <conditionalFormatting sqref="G41">
    <cfRule type="cellIs" dxfId="614" priority="18" stopIfTrue="1" operator="greaterThan">
      <formula>$I$41</formula>
    </cfRule>
  </conditionalFormatting>
  <conditionalFormatting sqref="I41">
    <cfRule type="cellIs" dxfId="613" priority="8" stopIfTrue="1" operator="greaterThan">
      <formula>$G$41</formula>
    </cfRule>
  </conditionalFormatting>
  <conditionalFormatting sqref="J41">
    <cfRule type="cellIs" dxfId="612" priority="17" stopIfTrue="1" operator="greaterThan">
      <formula>$L$41</formula>
    </cfRule>
  </conditionalFormatting>
  <conditionalFormatting sqref="L41">
    <cfRule type="cellIs" dxfId="611" priority="7" stopIfTrue="1" operator="greaterThan">
      <formula>$J$41</formula>
    </cfRule>
  </conditionalFormatting>
  <conditionalFormatting sqref="M41">
    <cfRule type="cellIs" dxfId="610" priority="16" stopIfTrue="1" operator="greaterThan">
      <formula>$O$41</formula>
    </cfRule>
  </conditionalFormatting>
  <conditionalFormatting sqref="O41">
    <cfRule type="cellIs" dxfId="609" priority="6" stopIfTrue="1" operator="greaterThan">
      <formula>$M$41</formula>
    </cfRule>
  </conditionalFormatting>
  <conditionalFormatting sqref="P41">
    <cfRule type="cellIs" dxfId="608" priority="15" stopIfTrue="1" operator="greaterThan">
      <formula>$R$41</formula>
    </cfRule>
  </conditionalFormatting>
  <conditionalFormatting sqref="R41">
    <cfRule type="cellIs" dxfId="607" priority="5" stopIfTrue="1" operator="greaterThan">
      <formula>$P$41</formula>
    </cfRule>
  </conditionalFormatting>
  <conditionalFormatting sqref="S41">
    <cfRule type="cellIs" dxfId="606" priority="14" stopIfTrue="1" operator="greaterThan">
      <formula>$U$41</formula>
    </cfRule>
  </conditionalFormatting>
  <conditionalFormatting sqref="U41">
    <cfRule type="cellIs" dxfId="605" priority="1" stopIfTrue="1" operator="greaterThan">
      <formula>$S$41</formula>
    </cfRule>
    <cfRule type="cellIs" dxfId="604" priority="4" stopIfTrue="1" operator="greaterThan">
      <formula>$U$41</formula>
    </cfRule>
  </conditionalFormatting>
  <conditionalFormatting sqref="V41">
    <cfRule type="cellIs" dxfId="603" priority="13" stopIfTrue="1" operator="greaterThan">
      <formula>$X$41</formula>
    </cfRule>
  </conditionalFormatting>
  <conditionalFormatting sqref="X41">
    <cfRule type="cellIs" dxfId="602" priority="3" stopIfTrue="1" operator="greaterThan">
      <formula>$V$41</formula>
    </cfRule>
  </conditionalFormatting>
  <conditionalFormatting sqref="Y41">
    <cfRule type="cellIs" dxfId="601" priority="12" stopIfTrue="1" operator="greaterThan">
      <formula>$AA$41</formula>
    </cfRule>
  </conditionalFormatting>
  <conditionalFormatting sqref="AA41">
    <cfRule type="cellIs" dxfId="600" priority="2" stopIfTrue="1" operator="greaterThan">
      <formula>$Y$41</formula>
    </cfRule>
  </conditionalFormatting>
  <hyperlinks>
    <hyperlink ref="R45" r:id="rId1" display="pabst@swissfaustball.ch" xr:uid="{00000000-0004-0000-0F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2'!A15</f>
        <v>45824</v>
      </c>
      <c r="F6" s="1343"/>
      <c r="G6" s="1343"/>
      <c r="H6" s="1343"/>
      <c r="I6" s="1343"/>
      <c r="J6" s="1320" t="s">
        <v>324</v>
      </c>
      <c r="K6" s="1320"/>
      <c r="L6" s="1321">
        <f>'Aufgebot 2'!G15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2'!L15</f>
        <v>Oberwinterthur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2'!Y5</f>
        <v>2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2'!A8</f>
        <v>TV Oberwinterthur  (NLB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2'!O8</f>
        <v>STV Dozwil ( NLB O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2'!A19&amp;" "&amp;'Aufgebot 2'!G19</f>
        <v>Daniel Graf +41 79 431 31 31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416" t="str">
        <f>'Aufgebot 2'!A9</f>
        <v>Fabio Schiess</v>
      </c>
      <c r="AC23" s="1416"/>
      <c r="AD23" s="1416"/>
      <c r="AE23" s="1416"/>
      <c r="AF23" s="1416"/>
      <c r="AG23" s="1416"/>
      <c r="AH23" s="1416"/>
      <c r="AI23" s="1416"/>
      <c r="AJ23" s="1417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2'!$G$34&gt;0,1,"")</f>
        <v/>
      </c>
      <c r="H30" s="249" t="str">
        <f>IF('Aufgebot 2'!$G$34&gt;0,2,"")</f>
        <v/>
      </c>
      <c r="I30" s="249" t="str">
        <f>IF('Aufgebot 2'!$G$34=3,3,"")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2'!$G$34&gt;0,1,"")</f>
        <v/>
      </c>
      <c r="H32" s="249" t="str">
        <f>IF('Aufgebot 2'!$G$34&gt;0,2,"")</f>
        <v/>
      </c>
      <c r="I32" s="249" t="str">
        <f>IF('Aufgebot 2'!$G$34=3,3,"")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2'!$G$34&gt;0,1,"")</f>
        <v/>
      </c>
      <c r="H34" s="249" t="str">
        <f>IF('Aufgebot 2'!$G$34&gt;0,2,"")</f>
        <v/>
      </c>
      <c r="I34" s="249" t="str">
        <f>IF('Aufgebot 2'!$G$34=3,3,"")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2'!$G$34&gt;0,1,"")</f>
        <v/>
      </c>
      <c r="H36" s="249" t="str">
        <f>IF('Aufgebot 2'!$G$34&gt;0,2,"")</f>
        <v/>
      </c>
      <c r="I36" s="249" t="str">
        <f>IF('Aufgebot 2'!$G$34=3,3,"")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2'!$G$34&gt;0,1,"")</f>
        <v/>
      </c>
      <c r="H39" s="249" t="str">
        <f>IF('Aufgebot 2'!$G$34&gt;0,2,"")</f>
        <v/>
      </c>
      <c r="I39" s="249" t="str">
        <f>IF('Aufgebot 2'!$G$34=3,3,"")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2'!$G$34&gt;0,1,"")</f>
        <v/>
      </c>
      <c r="H41" s="249" t="str">
        <f>IF('Aufgebot 2'!$G$34&gt;0,2,"")</f>
        <v/>
      </c>
      <c r="I41" s="249" t="str">
        <f>IF('Aufgebot 2'!$G$34=3,3,"")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2'!$G$34&gt;0,1,"")</f>
        <v/>
      </c>
      <c r="H43" s="249" t="str">
        <f>IF('Aufgebot 2'!$G$34&gt;0,2,"")</f>
        <v/>
      </c>
      <c r="I43" s="249" t="str">
        <f>IF('Aufgebot 2'!$G$34=3,3,"")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2'!$G$34&gt;0,1,"")</f>
        <v/>
      </c>
      <c r="H45" s="249" t="str">
        <f>IF('Aufgebot 2'!$G$34&gt;0,2,"")</f>
        <v/>
      </c>
      <c r="I45" s="249" t="str">
        <f>IF('Aufgebot 2'!$G$34=3,3,"")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2'!$G$34&gt;0,1,"")</f>
        <v/>
      </c>
      <c r="H48" s="249" t="str">
        <f>IF('Aufgebot 2'!$G$34&gt;0,2,"")</f>
        <v/>
      </c>
      <c r="I48" s="249" t="str">
        <f>IF('Aufgebot 2'!$G$34=3,3,"")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2'!Y5+1</f>
        <v>3</v>
      </c>
      <c r="Z5" s="394"/>
      <c r="AA5" s="396"/>
      <c r="AC5" s="156"/>
      <c r="AD5" s="265"/>
      <c r="AE5" s="172"/>
    </row>
    <row r="6" spans="1:33" ht="9" customHeight="1" thickBot="1">
      <c r="A6" s="363">
        <f>Eigaben!F30</f>
        <v>42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Eigaben!G30</f>
        <v>59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Felben-W.hausen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Rickenbach-Wilen 2 ( NLB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Patrick Oderbolz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Jonas Hess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079 346 01 18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079 900 69 17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patrick@oderbolz.ch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spiko@fgriwi.ch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Eigaben!C30</f>
        <v>3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IF(Eigaben!C30=0,"",VLOOKUP(C13,Eigaben!$C$28:$V$109,13,0))</f>
        <v>45799</v>
      </c>
      <c r="B15" s="1199"/>
      <c r="C15" s="1199"/>
      <c r="D15" s="1199"/>
      <c r="E15" s="1199"/>
      <c r="F15" s="1199"/>
      <c r="G15" s="1194">
        <f>IF(Eigaben!C30=0,"",VLOOKUP(C13,Eigaben!$C$28:$V$110,14,0))</f>
        <v>0.79166666666666663</v>
      </c>
      <c r="H15" s="1194"/>
      <c r="I15" s="1194"/>
      <c r="J15" s="1194"/>
      <c r="K15" s="1194"/>
      <c r="L15" s="1195" t="str">
        <f>IF(Eigaben!C30=0,"",VLOOKUP(C13,Eigaben!$C$28:$V$1110,15,0))</f>
        <v>Felben - Wellhausen</v>
      </c>
      <c r="M15" s="1196"/>
      <c r="N15" s="1196"/>
      <c r="O15" s="1196"/>
      <c r="P15" s="1196"/>
      <c r="Q15" s="1196"/>
      <c r="R15" s="1196"/>
      <c r="S15" s="1197"/>
      <c r="T15" s="1195" t="str">
        <f>IF(Eigaben!C30=0,"",VLOOKUP(C13,Eigaben!$C$28:$V$110,16,0))</f>
        <v>Schulhaus Heuberghalle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Eigaben!T30</f>
        <v>43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Rico Tenini</v>
      </c>
      <c r="B19" s="1362"/>
      <c r="C19" s="1362"/>
      <c r="D19" s="1362"/>
      <c r="E19" s="1362"/>
      <c r="F19" s="1363"/>
      <c r="G19" s="860" t="str">
        <f>IF(C16=0,"",VLOOKUP(C16,Schiri_25!A2:L181,9,1))</f>
        <v>+41 78 686 52 32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130" t="str">
        <f>IF(C16=0,"",VLOOKUP(C16,Schiri_25!A2:L181,12,1))</f>
        <v>briri.tenini@bluewin.ch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Eigaben!V30</f>
        <v>14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Eigaben!S30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99" priority="20" stopIfTrue="1" operator="greaterThan">
      <formula>$C$41</formula>
    </cfRule>
  </conditionalFormatting>
  <conditionalFormatting sqref="C41">
    <cfRule type="cellIs" dxfId="598" priority="10" stopIfTrue="1" operator="greaterThan">
      <formula>$A$41</formula>
    </cfRule>
    <cfRule type="cellIs" dxfId="597" priority="11" stopIfTrue="1" operator="greaterThan">
      <formula>$A$41</formula>
    </cfRule>
  </conditionalFormatting>
  <conditionalFormatting sqref="D41">
    <cfRule type="cellIs" dxfId="596" priority="19" stopIfTrue="1" operator="greaterThan">
      <formula>$F$41</formula>
    </cfRule>
  </conditionalFormatting>
  <conditionalFormatting sqref="F41">
    <cfRule type="cellIs" dxfId="595" priority="9" stopIfTrue="1" operator="greaterThan">
      <formula>$D$41</formula>
    </cfRule>
  </conditionalFormatting>
  <conditionalFormatting sqref="G41">
    <cfRule type="cellIs" dxfId="594" priority="18" stopIfTrue="1" operator="greaterThan">
      <formula>$I$41</formula>
    </cfRule>
  </conditionalFormatting>
  <conditionalFormatting sqref="I41">
    <cfRule type="cellIs" dxfId="593" priority="8" stopIfTrue="1" operator="greaterThan">
      <formula>$G$41</formula>
    </cfRule>
  </conditionalFormatting>
  <conditionalFormatting sqref="J41">
    <cfRule type="cellIs" dxfId="592" priority="17" stopIfTrue="1" operator="greaterThan">
      <formula>$L$41</formula>
    </cfRule>
  </conditionalFormatting>
  <conditionalFormatting sqref="L41">
    <cfRule type="cellIs" dxfId="591" priority="7" stopIfTrue="1" operator="greaterThan">
      <formula>$J$41</formula>
    </cfRule>
  </conditionalFormatting>
  <conditionalFormatting sqref="M41">
    <cfRule type="cellIs" dxfId="590" priority="16" stopIfTrue="1" operator="greaterThan">
      <formula>$O$41</formula>
    </cfRule>
  </conditionalFormatting>
  <conditionalFormatting sqref="O41">
    <cfRule type="cellIs" dxfId="589" priority="6" stopIfTrue="1" operator="greaterThan">
      <formula>$M$41</formula>
    </cfRule>
  </conditionalFormatting>
  <conditionalFormatting sqref="P41">
    <cfRule type="cellIs" dxfId="588" priority="15" stopIfTrue="1" operator="greaterThan">
      <formula>$R$41</formula>
    </cfRule>
  </conditionalFormatting>
  <conditionalFormatting sqref="R41">
    <cfRule type="cellIs" dxfId="587" priority="5" stopIfTrue="1" operator="greaterThan">
      <formula>$P$41</formula>
    </cfRule>
  </conditionalFormatting>
  <conditionalFormatting sqref="S41">
    <cfRule type="cellIs" dxfId="586" priority="14" stopIfTrue="1" operator="greaterThan">
      <formula>$U$41</formula>
    </cfRule>
  </conditionalFormatting>
  <conditionalFormatting sqref="U41">
    <cfRule type="cellIs" dxfId="585" priority="1" stopIfTrue="1" operator="greaterThan">
      <formula>$S$41</formula>
    </cfRule>
    <cfRule type="cellIs" dxfId="584" priority="4" stopIfTrue="1" operator="greaterThan">
      <formula>$U$41</formula>
    </cfRule>
  </conditionalFormatting>
  <conditionalFormatting sqref="V41">
    <cfRule type="cellIs" dxfId="583" priority="13" stopIfTrue="1" operator="greaterThan">
      <formula>$X$41</formula>
    </cfRule>
  </conditionalFormatting>
  <conditionalFormatting sqref="X41">
    <cfRule type="cellIs" dxfId="582" priority="3" stopIfTrue="1" operator="greaterThan">
      <formula>$V$41</formula>
    </cfRule>
  </conditionalFormatting>
  <conditionalFormatting sqref="Y41">
    <cfRule type="cellIs" dxfId="581" priority="12" stopIfTrue="1" operator="greaterThan">
      <formula>$AA$41</formula>
    </cfRule>
  </conditionalFormatting>
  <conditionalFormatting sqref="AA41">
    <cfRule type="cellIs" dxfId="580" priority="2" stopIfTrue="1" operator="greaterThan">
      <formula>$Y$41</formula>
    </cfRule>
  </conditionalFormatting>
  <hyperlinks>
    <hyperlink ref="R45" r:id="rId1" display="pabst@swissfaustball.ch" xr:uid="{00000000-0004-0000-11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1"/>
  <sheetViews>
    <sheetView workbookViewId="0"/>
  </sheetViews>
  <sheetFormatPr baseColWidth="10" defaultColWidth="10.81640625" defaultRowHeight="12.5"/>
  <cols>
    <col min="1" max="1" width="5.26953125" customWidth="1"/>
    <col min="2" max="2" width="39" bestFit="1" customWidth="1"/>
    <col min="3" max="3" width="13.453125" customWidth="1"/>
    <col min="4" max="4" width="12" bestFit="1" customWidth="1"/>
    <col min="5" max="5" width="31" bestFit="1" customWidth="1"/>
    <col min="6" max="6" width="26.26953125" bestFit="1" customWidth="1"/>
    <col min="7" max="8" width="15.81640625" bestFit="1" customWidth="1"/>
    <col min="9" max="9" width="35.08984375" bestFit="1" customWidth="1"/>
  </cols>
  <sheetData>
    <row r="1" spans="1:4" ht="14">
      <c r="B1" s="354" t="s">
        <v>655</v>
      </c>
      <c r="C1" s="9" t="s">
        <v>332</v>
      </c>
    </row>
    <row r="2" spans="1:4" ht="14">
      <c r="A2" s="22">
        <v>1</v>
      </c>
      <c r="B2" s="169" t="str">
        <f>IF('CH Cup Tableau 2025'!$F8&gt;'CH Cup Tableau 2025'!$F10,'CH Cup Tableau 2025'!$C8,'CH Cup Tableau 2025'!$C10)</f>
        <v>SUS Widnau   ( 2. Liga F )</v>
      </c>
      <c r="C2" s="320" t="s">
        <v>1</v>
      </c>
      <c r="D2">
        <v>1</v>
      </c>
    </row>
    <row r="3" spans="1:4" ht="14">
      <c r="A3" s="22">
        <v>2</v>
      </c>
      <c r="B3" s="169" t="str">
        <f>IF('CH Cup Tableau 2025'!$F14&gt;'CH Cup Tableau 2025'!$F16,'CH Cup Tableau 2025'!$C14,'CH Cup Tableau 2025'!$C16)</f>
        <v>STV Elgg ( 2. Liga )</v>
      </c>
      <c r="C3" s="320" t="s">
        <v>2</v>
      </c>
      <c r="D3">
        <v>2</v>
      </c>
    </row>
    <row r="4" spans="1:4" ht="14">
      <c r="A4" s="22">
        <v>3</v>
      </c>
      <c r="B4" s="169" t="str">
        <f>IF('CH Cup Tableau 2025'!$F20&gt;'CH Cup Tableau 2025'!$F22,'CH Cup Tableau 2025'!$C20,'CH Cup Tableau 2025'!$C22)</f>
        <v xml:space="preserve"> </v>
      </c>
      <c r="C4" s="320" t="s">
        <v>615</v>
      </c>
      <c r="D4">
        <v>3</v>
      </c>
    </row>
    <row r="5" spans="1:4" ht="14">
      <c r="A5" s="22">
        <v>4</v>
      </c>
      <c r="B5" s="169" t="str">
        <f>IF('CH Cup Tableau 2025'!$F26&gt;'CH Cup Tableau 2025'!$F28,'CH Cup Tableau 2025'!$C26,'CH Cup Tableau 2025'!$C28)</f>
        <v xml:space="preserve"> </v>
      </c>
      <c r="C5" s="320" t="s">
        <v>616</v>
      </c>
      <c r="D5">
        <v>4</v>
      </c>
    </row>
    <row r="6" spans="1:4" ht="14">
      <c r="A6" s="22">
        <v>5</v>
      </c>
      <c r="B6" s="169" t="str">
        <f>IF('CH Cup Tableau 2025'!$F32&gt;'CH Cup Tableau 2025'!$F34,'CH Cup Tableau 2025'!$C32,'CH Cup Tableau 2025'!$C34)</f>
        <v xml:space="preserve"> </v>
      </c>
      <c r="C6" s="320" t="s">
        <v>617</v>
      </c>
      <c r="D6">
        <v>5</v>
      </c>
    </row>
    <row r="7" spans="1:4" ht="14">
      <c r="A7" s="22">
        <v>6</v>
      </c>
      <c r="B7" s="169" t="str">
        <f>IF('CH Cup Tableau 2025'!$F38&gt;'CH Cup Tableau 2025'!$F40,'CH Cup Tableau 2025'!$C38,'CH Cup Tableau 2025'!$C40)</f>
        <v xml:space="preserve"> </v>
      </c>
      <c r="C7" s="320" t="s">
        <v>618</v>
      </c>
      <c r="D7">
        <v>6</v>
      </c>
    </row>
    <row r="8" spans="1:4" ht="14">
      <c r="A8" s="22">
        <v>7</v>
      </c>
      <c r="B8" s="169" t="str">
        <f>IF('CH Cup Tableau 2025'!$F45&gt;'CH Cup Tableau 2025'!$F47,'CH Cup Tableau 2025'!$C45,'CH Cup Tableau 2025'!$C47)</f>
        <v/>
      </c>
      <c r="C8" s="320" t="s">
        <v>619</v>
      </c>
      <c r="D8">
        <v>7</v>
      </c>
    </row>
    <row r="9" spans="1:4" ht="14">
      <c r="A9" s="22">
        <v>8</v>
      </c>
      <c r="B9" s="169" t="str">
        <f>IF('CH Cup Tableau 2025'!$F51&gt;'CH Cup Tableau 2025'!$F53,'CH Cup Tableau 2025'!$C51,'CH Cup Tableau 2025'!$C53)</f>
        <v/>
      </c>
      <c r="C9" s="320" t="s">
        <v>620</v>
      </c>
      <c r="D9">
        <v>8</v>
      </c>
    </row>
    <row r="10" spans="1:4" ht="14">
      <c r="A10" s="22">
        <v>9</v>
      </c>
      <c r="B10" s="169" t="str">
        <f>IF('CH Cup Tableau 2025'!$F57&gt;'CH Cup Tableau 2025'!$F59,'CH Cup Tableau 2025'!$C57,'CH Cup Tableau 2025'!$C59)</f>
        <v/>
      </c>
      <c r="C10" s="320" t="s">
        <v>362</v>
      </c>
      <c r="D10">
        <v>9</v>
      </c>
    </row>
    <row r="11" spans="1:4" ht="14">
      <c r="A11" s="22">
        <v>10</v>
      </c>
      <c r="B11" s="169" t="str">
        <f>IF('CH Cup Tableau 2025'!$F63&gt;'CH Cup Tableau 2025'!$F65,'CH Cup Tableau 2025'!$C63,'CH Cup Tableau 2025'!$C65)</f>
        <v/>
      </c>
      <c r="C11" s="320" t="s">
        <v>621</v>
      </c>
      <c r="D11">
        <v>10</v>
      </c>
    </row>
    <row r="12" spans="1:4" ht="14">
      <c r="A12" s="22">
        <v>11</v>
      </c>
      <c r="B12" s="169"/>
      <c r="C12" s="320" t="s">
        <v>622</v>
      </c>
      <c r="D12">
        <v>11</v>
      </c>
    </row>
    <row r="13" spans="1:4" ht="14">
      <c r="A13" s="22">
        <v>12</v>
      </c>
      <c r="B13" s="169"/>
      <c r="C13" s="320" t="s">
        <v>623</v>
      </c>
      <c r="D13">
        <v>12</v>
      </c>
    </row>
    <row r="14" spans="1:4" ht="14">
      <c r="A14" s="22">
        <v>13</v>
      </c>
      <c r="B14" s="169"/>
      <c r="C14" s="320" t="s">
        <v>624</v>
      </c>
      <c r="D14">
        <v>13</v>
      </c>
    </row>
    <row r="15" spans="1:4" ht="14">
      <c r="A15" s="22">
        <v>14</v>
      </c>
      <c r="B15" s="169"/>
      <c r="C15" s="320" t="s">
        <v>625</v>
      </c>
      <c r="D15">
        <v>14</v>
      </c>
    </row>
    <row r="16" spans="1:4" ht="14">
      <c r="A16" s="22">
        <v>15</v>
      </c>
      <c r="B16" s="169"/>
      <c r="C16" s="320" t="s">
        <v>626</v>
      </c>
      <c r="D16">
        <v>15</v>
      </c>
    </row>
    <row r="17" spans="1:4" ht="14">
      <c r="A17" s="22">
        <v>16</v>
      </c>
      <c r="B17" s="169"/>
      <c r="C17" s="320" t="s">
        <v>627</v>
      </c>
      <c r="D17">
        <v>16</v>
      </c>
    </row>
    <row r="18" spans="1:4" ht="14">
      <c r="A18" s="22"/>
      <c r="B18" s="169"/>
      <c r="C18" s="320"/>
    </row>
    <row r="19" spans="1:4" ht="14">
      <c r="A19" s="22">
        <v>17</v>
      </c>
      <c r="B19" s="169" t="s">
        <v>629</v>
      </c>
      <c r="C19" s="169"/>
    </row>
    <row r="20" spans="1:4" ht="14">
      <c r="A20" s="22">
        <v>18</v>
      </c>
      <c r="B20" s="169" t="s">
        <v>630</v>
      </c>
      <c r="C20" s="169"/>
    </row>
    <row r="21" spans="1:4" ht="14">
      <c r="A21" s="22">
        <v>19</v>
      </c>
      <c r="B21" s="169" t="s">
        <v>631</v>
      </c>
      <c r="C21" s="169"/>
    </row>
    <row r="22" spans="1:4" ht="14">
      <c r="A22" s="22">
        <v>20</v>
      </c>
      <c r="B22" s="169" t="s">
        <v>632</v>
      </c>
      <c r="C22" s="169"/>
    </row>
    <row r="23" spans="1:4" ht="14">
      <c r="A23" s="22">
        <v>21</v>
      </c>
      <c r="B23" s="169" t="s">
        <v>633</v>
      </c>
      <c r="C23" s="169"/>
    </row>
    <row r="24" spans="1:4" ht="14">
      <c r="A24" s="22">
        <v>22</v>
      </c>
      <c r="B24" s="169" t="s">
        <v>634</v>
      </c>
      <c r="C24" s="169"/>
    </row>
    <row r="25" spans="1:4" ht="14">
      <c r="A25" s="22">
        <v>23</v>
      </c>
      <c r="B25" s="169" t="s">
        <v>635</v>
      </c>
      <c r="C25" s="169"/>
    </row>
    <row r="26" spans="1:4" ht="14" hidden="1">
      <c r="A26" s="22">
        <v>24</v>
      </c>
      <c r="B26" s="169" t="s">
        <v>636</v>
      </c>
      <c r="C26" s="169"/>
    </row>
    <row r="27" spans="1:4" ht="14" hidden="1">
      <c r="A27" s="22">
        <v>25</v>
      </c>
      <c r="B27" s="169" t="s">
        <v>637</v>
      </c>
      <c r="C27" s="169"/>
    </row>
    <row r="28" spans="1:4" ht="14" hidden="1">
      <c r="A28" s="22">
        <v>26</v>
      </c>
      <c r="B28" s="169" t="s">
        <v>638</v>
      </c>
      <c r="C28" s="169"/>
    </row>
    <row r="29" spans="1:4" ht="14" hidden="1">
      <c r="A29" s="22">
        <v>27</v>
      </c>
      <c r="B29" s="169" t="s">
        <v>639</v>
      </c>
      <c r="C29" s="169"/>
    </row>
    <row r="30" spans="1:4" ht="14" hidden="1">
      <c r="A30" s="22">
        <v>28</v>
      </c>
      <c r="B30" s="169" t="s">
        <v>640</v>
      </c>
      <c r="C30" s="169"/>
    </row>
    <row r="31" spans="1:4" ht="14" hidden="1">
      <c r="A31" s="22">
        <v>29</v>
      </c>
      <c r="B31" s="169" t="s">
        <v>641</v>
      </c>
      <c r="C31" s="169"/>
    </row>
    <row r="32" spans="1:4" ht="14" hidden="1">
      <c r="A32" s="22">
        <v>30</v>
      </c>
      <c r="B32" s="169" t="s">
        <v>642</v>
      </c>
      <c r="C32" s="169"/>
    </row>
    <row r="33" spans="1:10" ht="14" hidden="1">
      <c r="A33" s="22">
        <v>31</v>
      </c>
      <c r="B33" s="169" t="s">
        <v>643</v>
      </c>
      <c r="C33" s="169"/>
    </row>
    <row r="34" spans="1:10" ht="14" hidden="1">
      <c r="A34" s="22">
        <v>32</v>
      </c>
      <c r="B34" s="169" t="s">
        <v>644</v>
      </c>
      <c r="C34" s="169"/>
    </row>
    <row r="35" spans="1:10" ht="14">
      <c r="A35" s="22"/>
      <c r="B35" s="169"/>
      <c r="C35" s="169"/>
    </row>
    <row r="36" spans="1:10" ht="14">
      <c r="A36" s="22"/>
      <c r="B36" s="169"/>
      <c r="C36" s="169"/>
    </row>
    <row r="37" spans="1:10" ht="14">
      <c r="A37" s="22"/>
      <c r="B37" s="169"/>
      <c r="C37" s="169"/>
    </row>
    <row r="38" spans="1:10" ht="14">
      <c r="A38" s="22"/>
      <c r="B38" s="169"/>
      <c r="C38" s="169"/>
    </row>
    <row r="39" spans="1:10" ht="15" customHeight="1">
      <c r="A39" s="22">
        <v>35</v>
      </c>
      <c r="B39" s="12" t="str">
        <f>'Adressen Daten 25'!F34&amp;" "&amp;'Adressen Daten 25'!G34</f>
        <v>FG Rickenbach-Wilen ( NLA )</v>
      </c>
      <c r="C39" s="877" t="s">
        <v>857</v>
      </c>
      <c r="D39" s="877"/>
    </row>
    <row r="40" spans="1:10" ht="14">
      <c r="A40" s="22">
        <v>36</v>
      </c>
      <c r="B40" s="12" t="e">
        <f>'Adressen Daten 25'!#REF!&amp;" "&amp;'Adressen Daten 25'!#REF!</f>
        <v>#REF!</v>
      </c>
      <c r="C40" s="877"/>
      <c r="D40" s="877"/>
    </row>
    <row r="41" spans="1:10" ht="14">
      <c r="A41" s="22">
        <v>37</v>
      </c>
      <c r="B41" s="12" t="str">
        <f>'Adressen Daten 25'!F38&amp;" "&amp;'Adressen Daten 25'!G38</f>
        <v xml:space="preserve"> </v>
      </c>
      <c r="C41" s="877"/>
      <c r="D41" s="877"/>
    </row>
    <row r="42" spans="1:10" ht="14">
      <c r="A42" s="22">
        <v>38</v>
      </c>
      <c r="B42" s="12" t="str">
        <f>'Adressen Daten 25'!F40&amp;" "&amp;'Adressen Daten 25'!G40</f>
        <v xml:space="preserve"> </v>
      </c>
      <c r="C42" s="877"/>
      <c r="D42" s="877"/>
    </row>
    <row r="43" spans="1:10" ht="14">
      <c r="A43" s="22"/>
      <c r="B43" s="12"/>
      <c r="C43" s="715"/>
      <c r="D43" s="715"/>
    </row>
    <row r="44" spans="1:10" ht="15.5">
      <c r="A44" s="22">
        <v>39</v>
      </c>
      <c r="B44" s="704" t="str">
        <f>'Adressen Daten 25'!F3&amp;" "&amp;'Adressen Daten 25'!G3</f>
        <v>TSV Waldkirch ( 3. Liga F )</v>
      </c>
      <c r="C44" s="705" t="str">
        <f>'Adressen Daten 25'!I3</f>
        <v xml:space="preserve">Stefan </v>
      </c>
      <c r="D44" s="706" t="str">
        <f>'Adressen Daten 25'!J3</f>
        <v>Zielger</v>
      </c>
      <c r="E44" s="705" t="str">
        <f>'Adressen Daten 25'!K3</f>
        <v>Birkenstr 6</v>
      </c>
      <c r="F44" s="705" t="str">
        <f>'Adressen Daten 25'!L3&amp;" "&amp;'Adressen Daten 25'!M3</f>
        <v>9205 Waldkirch</v>
      </c>
      <c r="G44" s="705">
        <f>'Adressen Daten 25'!N3</f>
        <v>0</v>
      </c>
      <c r="H44" s="705" t="str">
        <f>'Adressen Daten 25'!O3</f>
        <v>076 824 52 22</v>
      </c>
      <c r="I44" s="705" t="str">
        <f>'Adressen Daten 25'!P3</f>
        <v>ziege81@icloud.com</v>
      </c>
      <c r="J44">
        <v>1</v>
      </c>
    </row>
    <row r="45" spans="1:10" ht="15.5">
      <c r="A45" s="22">
        <v>40</v>
      </c>
      <c r="B45" s="704" t="str">
        <f>'Adressen Daten 25'!F4&amp;" "&amp;'Adressen Daten 25'!G4</f>
        <v>MR Beringen ( 2. Liga )</v>
      </c>
      <c r="C45" s="705" t="str">
        <f>'Adressen Daten 25'!I4</f>
        <v>Stefan</v>
      </c>
      <c r="D45" s="706" t="str">
        <f>'Adressen Daten 25'!J4</f>
        <v>Kunz</v>
      </c>
      <c r="E45" s="705" t="str">
        <f>'Adressen Daten 25'!K4</f>
        <v>Mühleweg 15</v>
      </c>
      <c r="F45" s="705" t="str">
        <f>'Adressen Daten 25'!L4&amp;" "&amp;'Adressen Daten 25'!M4</f>
        <v>8222 Beringen</v>
      </c>
      <c r="G45" s="705" t="str">
        <f>'Adressen Daten 25'!N4</f>
        <v>052 685 20 53</v>
      </c>
      <c r="H45" s="705" t="str">
        <f>'Adressen Daten 25'!O4</f>
        <v>052 685 01 01</v>
      </c>
      <c r="I45" s="705" t="str">
        <f>'Adressen Daten 25'!P4</f>
        <v>faustball@mrberingen.ch</v>
      </c>
      <c r="J45">
        <v>2</v>
      </c>
    </row>
    <row r="46" spans="1:10" ht="15.5">
      <c r="A46" s="22">
        <v>41</v>
      </c>
      <c r="B46" s="704" t="str">
        <f>'Adressen Daten 25'!F5&amp;" "&amp;'Adressen Daten 25'!G5</f>
        <v>STV Elgg ( 2. Liga )</v>
      </c>
      <c r="C46" s="705" t="str">
        <f>'Adressen Daten 25'!I5</f>
        <v>Oliver</v>
      </c>
      <c r="D46" s="706" t="str">
        <f>'Adressen Daten 25'!J5</f>
        <v>Lang</v>
      </c>
      <c r="E46" s="705">
        <f>'Adressen Daten 25'!K5</f>
        <v>0</v>
      </c>
      <c r="F46" s="705" t="str">
        <f>'Adressen Daten 25'!L5&amp;" "&amp;'Adressen Daten 25'!M5</f>
        <v xml:space="preserve"> </v>
      </c>
      <c r="G46" s="705">
        <f>'Adressen Daten 25'!N5</f>
        <v>0</v>
      </c>
      <c r="H46" s="705" t="str">
        <f>'Adressen Daten 25'!O5</f>
        <v>079 672 93 60</v>
      </c>
      <c r="I46" s="705" t="str">
        <f>'Adressen Daten 25'!P5</f>
        <v>lang@swissfaustball.ch</v>
      </c>
      <c r="J46">
        <v>3</v>
      </c>
    </row>
    <row r="47" spans="1:10" ht="15.5">
      <c r="A47" s="22">
        <v>42</v>
      </c>
      <c r="B47" s="704" t="str">
        <f>'Adressen Daten 25'!F6&amp;" "&amp;'Adressen Daten 25'!G6</f>
        <v>FBV Ettenhausen ( 2. Liga S )</v>
      </c>
      <c r="C47" s="705" t="str">
        <f>'Adressen Daten 25'!I6</f>
        <v xml:space="preserve">Simon </v>
      </c>
      <c r="D47" s="706" t="str">
        <f>'Adressen Daten 25'!J6</f>
        <v>Kunz</v>
      </c>
      <c r="E47" s="705" t="str">
        <f>'Adressen Daten 25'!K6</f>
        <v>Matthofstr 43</v>
      </c>
      <c r="F47" s="705" t="str">
        <f>'Adressen Daten 25'!L6&amp;" "&amp;'Adressen Daten 25'!M6</f>
        <v>8355 Aadorf</v>
      </c>
      <c r="G47" s="705">
        <f>'Adressen Daten 25'!N6</f>
        <v>0</v>
      </c>
      <c r="H47" s="705" t="str">
        <f>'Adressen Daten 25'!O6</f>
        <v>079 438 17 59</v>
      </c>
      <c r="I47" s="705" t="str">
        <f>'Adressen Daten 25'!P6</f>
        <v>simon.kunz@fbv-ettenhausen.ch</v>
      </c>
      <c r="J47">
        <v>4</v>
      </c>
    </row>
    <row r="48" spans="1:10" ht="15.5">
      <c r="A48" s="22">
        <v>43</v>
      </c>
      <c r="B48" s="704" t="e">
        <f>'Adressen Daten 25'!#REF!&amp;" "&amp;'Adressen Daten 25'!#REF!</f>
        <v>#REF!</v>
      </c>
      <c r="C48" s="705" t="e">
        <f>'Adressen Daten 25'!#REF!</f>
        <v>#REF!</v>
      </c>
      <c r="D48" s="706" t="e">
        <f>'Adressen Daten 25'!#REF!</f>
        <v>#REF!</v>
      </c>
      <c r="E48" s="705" t="e">
        <f>'Adressen Daten 25'!#REF!</f>
        <v>#REF!</v>
      </c>
      <c r="F48" s="705" t="e">
        <f>'Adressen Daten 25'!#REF!&amp;" "&amp;'Adressen Daten 25'!#REF!</f>
        <v>#REF!</v>
      </c>
      <c r="G48" s="705" t="e">
        <f>'Adressen Daten 25'!#REF!</f>
        <v>#REF!</v>
      </c>
      <c r="H48" s="705" t="e">
        <f>'Adressen Daten 25'!#REF!</f>
        <v>#REF!</v>
      </c>
      <c r="I48" s="705" t="e">
        <f>'Adressen Daten 25'!#REF!</f>
        <v>#REF!</v>
      </c>
      <c r="J48">
        <v>5</v>
      </c>
    </row>
    <row r="49" spans="1:10" ht="15.5">
      <c r="A49" s="22">
        <v>44</v>
      </c>
      <c r="B49" s="704" t="str">
        <f>'Adressen Daten 25'!F7&amp;" "&amp;'Adressen Daten 25'!G7</f>
        <v>STV Felben-W.hausen ( 2. Liga )</v>
      </c>
      <c r="C49" s="705" t="str">
        <f>'Adressen Daten 25'!I7</f>
        <v>Patrick</v>
      </c>
      <c r="D49" s="706" t="str">
        <f>'Adressen Daten 25'!J7</f>
        <v>Oderbolz</v>
      </c>
      <c r="E49" s="705">
        <f>'Adressen Daten 25'!K7</f>
        <v>0</v>
      </c>
      <c r="F49" s="705" t="str">
        <f>'Adressen Daten 25'!L7&amp;" "&amp;'Adressen Daten 25'!M7</f>
        <v xml:space="preserve"> </v>
      </c>
      <c r="G49" s="705">
        <f>'Adressen Daten 25'!N7</f>
        <v>0</v>
      </c>
      <c r="H49" s="705" t="str">
        <f>'Adressen Daten 25'!O7</f>
        <v>079 346 01 18</v>
      </c>
      <c r="I49" s="705" t="str">
        <f>'Adressen Daten 25'!P7</f>
        <v>patrick@oderbolz.ch</v>
      </c>
      <c r="J49">
        <v>6</v>
      </c>
    </row>
    <row r="50" spans="1:10" ht="15.5">
      <c r="A50" s="22">
        <v>45</v>
      </c>
      <c r="B50" s="704" t="str">
        <f>'Adressen Daten 25'!F8&amp;" "&amp;'Adressen Daten 25'!G8</f>
        <v>STV Müllheim ( 2. L )</v>
      </c>
      <c r="C50" s="705" t="str">
        <f>'Adressen Daten 25'!I8</f>
        <v>Raphael</v>
      </c>
      <c r="D50" s="706" t="str">
        <f>'Adressen Daten 25'!J8</f>
        <v>Gubser</v>
      </c>
      <c r="E50" s="705">
        <f>'Adressen Daten 25'!K8</f>
        <v>0</v>
      </c>
      <c r="F50" s="705" t="str">
        <f>'Adressen Daten 25'!L8&amp;" "&amp;'Adressen Daten 25'!M8</f>
        <v xml:space="preserve"> </v>
      </c>
      <c r="G50" s="705">
        <f>'Adressen Daten 25'!N8</f>
        <v>0</v>
      </c>
      <c r="H50" s="705" t="str">
        <f>'Adressen Daten 25'!O8</f>
        <v>079 519 86 51</v>
      </c>
      <c r="I50" s="705" t="str">
        <f>'Adressen Daten 25'!P8</f>
        <v>raffigubser@bluewin.ch</v>
      </c>
      <c r="J50">
        <v>7</v>
      </c>
    </row>
    <row r="51" spans="1:10" ht="15.5">
      <c r="A51" s="22">
        <v>46</v>
      </c>
      <c r="B51" s="704" t="str">
        <f>'Adressen Daten 25'!F9&amp;" "&amp;'Adressen Daten 25'!G9</f>
        <v>STV Oberentfelden   ( 2. Liga )</v>
      </c>
      <c r="C51" s="705" t="str">
        <f>'Adressen Daten 25'!I9</f>
        <v>Christian</v>
      </c>
      <c r="D51" s="706" t="str">
        <f>'Adressen Daten 25'!J9</f>
        <v>Suter</v>
      </c>
      <c r="E51" s="705" t="str">
        <f>'Adressen Daten 25'!K9</f>
        <v>Aeppenhaldenstr 3b</v>
      </c>
      <c r="F51" s="705" t="str">
        <f>'Adressen Daten 25'!L9&amp;" "&amp;'Adressen Daten 25'!M9</f>
        <v>4800 Zofingen</v>
      </c>
      <c r="G51" s="705">
        <f>'Adressen Daten 25'!N9</f>
        <v>0</v>
      </c>
      <c r="H51" s="705" t="str">
        <f>'Adressen Daten 25'!O9</f>
        <v>079 476 04 32</v>
      </c>
      <c r="I51" s="705" t="str">
        <f>'Adressen Daten 25'!P9</f>
        <v>christian.suter@faustballcenter.ch</v>
      </c>
      <c r="J51">
        <v>8</v>
      </c>
    </row>
    <row r="52" spans="1:10" ht="15.5">
      <c r="A52" s="22">
        <v>47</v>
      </c>
      <c r="B52" s="704" t="str">
        <f>'Adressen Daten 25'!F10&amp;" "&amp;'Adressen Daten 25'!G10</f>
        <v>STV Töss ( 2. Liga )</v>
      </c>
      <c r="C52" s="705" t="str">
        <f>'Adressen Daten 25'!I10</f>
        <v>Benjamin</v>
      </c>
      <c r="D52" s="706" t="str">
        <f>'Adressen Daten 25'!J10</f>
        <v>Boldo</v>
      </c>
      <c r="E52" s="705" t="str">
        <f>'Adressen Daten 25'!K10</f>
        <v>Metzggasse 6</v>
      </c>
      <c r="F52" s="705" t="str">
        <f>'Adressen Daten 25'!L10&amp;" "&amp;'Adressen Daten 25'!M10</f>
        <v>8400 Winterthur</v>
      </c>
      <c r="G52" s="705">
        <f>'Adressen Daten 25'!N10</f>
        <v>0</v>
      </c>
      <c r="H52" s="705" t="str">
        <f>'Adressen Daten 25'!O10</f>
        <v>076 320 86 65</v>
      </c>
      <c r="I52" s="705" t="str">
        <f>'Adressen Daten 25'!P10</f>
        <v>b.boldo@bluewin.ch</v>
      </c>
      <c r="J52">
        <v>9</v>
      </c>
    </row>
    <row r="53" spans="1:10" ht="15.5">
      <c r="A53" s="22">
        <v>48</v>
      </c>
      <c r="B53" s="704" t="str">
        <f>'Adressen Daten 25'!F11&amp;" "&amp;'Adressen Daten 25'!G11</f>
        <v>SUS Widnau   ( 2. Liga F )</v>
      </c>
      <c r="C53" s="705" t="str">
        <f>'Adressen Daten 25'!I11</f>
        <v>Marco</v>
      </c>
      <c r="D53" s="706" t="str">
        <f>'Adressen Daten 25'!J11</f>
        <v>Nüesch</v>
      </c>
      <c r="E53" s="705">
        <f>'Adressen Daten 25'!K11</f>
        <v>0</v>
      </c>
      <c r="F53" s="705" t="str">
        <f>'Adressen Daten 25'!L11&amp;" "&amp;'Adressen Daten 25'!M11</f>
        <v xml:space="preserve"> </v>
      </c>
      <c r="G53" s="705">
        <f>'Adressen Daten 25'!N11</f>
        <v>0</v>
      </c>
      <c r="H53" s="705" t="str">
        <f>'Adressen Daten 25'!O11</f>
        <v>079 404 47 21</v>
      </c>
      <c r="I53" s="705" t="str">
        <f>'Adressen Daten 25'!P11</f>
        <v>marco.nueesch@faustball-widnau.ch</v>
      </c>
      <c r="J53">
        <v>10</v>
      </c>
    </row>
    <row r="54" spans="1:10" ht="15.5">
      <c r="A54" s="22">
        <v>49</v>
      </c>
      <c r="B54" s="704" t="str">
        <f>'Adressen Daten 25'!F14&amp;" "&amp;'Adressen Daten 25'!G14</f>
        <v>FB Burgdorf (1. Liga  W)</v>
      </c>
      <c r="C54" s="705" t="str">
        <f>'Adressen Daten 25'!I14</f>
        <v>Stefan</v>
      </c>
      <c r="D54" s="706" t="str">
        <f>'Adressen Daten 25'!J14</f>
        <v>Tschannen</v>
      </c>
      <c r="E54" s="705" t="str">
        <f>'Adressen Daten 25'!K14</f>
        <v>Rumiweg 9</v>
      </c>
      <c r="F54" s="705" t="str">
        <f>'Adressen Daten 25'!L14&amp;" "&amp;'Adressen Daten 25'!M14</f>
        <v>4900 Langenthal</v>
      </c>
      <c r="G54" s="705">
        <f>'Adressen Daten 25'!N14</f>
        <v>0</v>
      </c>
      <c r="H54" s="705" t="str">
        <f>'Adressen Daten 25'!O14</f>
        <v>079 329 41 52</v>
      </c>
      <c r="I54" s="705" t="str">
        <f>'Adressen Daten 25'!P14</f>
        <v>st.fb_burgdorf@bluewin.ch</v>
      </c>
      <c r="J54">
        <v>11</v>
      </c>
    </row>
    <row r="55" spans="1:10" ht="15.5">
      <c r="A55" s="22">
        <v>50</v>
      </c>
      <c r="B55" s="704" t="str">
        <f>'Adressen Daten 25'!F15&amp;" "&amp;'Adressen Daten 25'!G15</f>
        <v xml:space="preserve">TSV Jona 2  ( 1. Liga O )  </v>
      </c>
      <c r="C55" s="705" t="str">
        <f>'Adressen Daten 25'!I15</f>
        <v>Fabian</v>
      </c>
      <c r="D55" s="706" t="str">
        <f>'Adressen Daten 25'!J15</f>
        <v>Zahner</v>
      </c>
      <c r="E55" s="705">
        <f>'Adressen Daten 25'!K15</f>
        <v>0</v>
      </c>
      <c r="F55" s="705" t="str">
        <f>'Adressen Daten 25'!L15&amp;" "&amp;'Adressen Daten 25'!M15</f>
        <v xml:space="preserve"> </v>
      </c>
      <c r="G55" s="705">
        <f>'Adressen Daten 25'!N15</f>
        <v>0</v>
      </c>
      <c r="H55" s="705" t="str">
        <f>'Adressen Daten 25'!O15</f>
        <v>076 592 09 17</v>
      </c>
      <c r="I55" s="705" t="str">
        <f>'Adressen Daten 25'!P15</f>
        <v>tkchef@fbjona.ch</v>
      </c>
      <c r="J55">
        <v>12</v>
      </c>
    </row>
    <row r="56" spans="1:10" ht="15.5">
      <c r="A56" s="22">
        <v>51</v>
      </c>
      <c r="B56" s="704" t="str">
        <f>'Adressen Daten 25'!F17&amp;" "&amp;'Adressen Daten 25'!G17</f>
        <v>STV Vordemwald 2  ( 1. Liga W)</v>
      </c>
      <c r="C56" s="705" t="str">
        <f>'Adressen Daten 25'!I17</f>
        <v>Reto</v>
      </c>
      <c r="D56" s="706" t="str">
        <f>'Adressen Daten 25'!J17</f>
        <v>Von Ballmoos</v>
      </c>
      <c r="E56" s="705" t="str">
        <f>'Adressen Daten 25'!K17</f>
        <v>Rotfarbstr 9</v>
      </c>
      <c r="F56" s="705" t="str">
        <f>'Adressen Daten 25'!L17&amp;" "&amp;'Adressen Daten 25'!M17</f>
        <v>4800 Zofingen</v>
      </c>
      <c r="G56" s="705">
        <f>'Adressen Daten 25'!N17</f>
        <v>0</v>
      </c>
      <c r="H56" s="705" t="str">
        <f>'Adressen Daten 25'!O17</f>
        <v>079 721 45 82</v>
      </c>
      <c r="I56" s="705" t="str">
        <f>'Adressen Daten 25'!P17</f>
        <v>reto.vonballmoos@gmail.com</v>
      </c>
      <c r="J56">
        <v>13</v>
      </c>
    </row>
    <row r="57" spans="1:10" ht="15.5">
      <c r="A57" s="22">
        <v>52</v>
      </c>
      <c r="B57" s="704" t="str">
        <f>'Adressen Daten 25'!F18&amp;" "&amp;'Adressen Daten 25'!G18</f>
        <v>STV Dägerlen ( NLB O )</v>
      </c>
      <c r="C57" s="705" t="str">
        <f>'Adressen Daten 25'!I18</f>
        <v>Aron</v>
      </c>
      <c r="D57" s="706" t="str">
        <f>'Adressen Daten 25'!J18</f>
        <v>Werder</v>
      </c>
      <c r="E57" s="705">
        <f>'Adressen Daten 25'!K18</f>
        <v>0</v>
      </c>
      <c r="F57" s="705" t="str">
        <f>'Adressen Daten 25'!L18&amp;" "&amp;'Adressen Daten 25'!M18</f>
        <v xml:space="preserve"> </v>
      </c>
      <c r="G57" s="705">
        <f>'Adressen Daten 25'!N18</f>
        <v>0</v>
      </c>
      <c r="H57" s="705" t="str">
        <f>'Adressen Daten 25'!O18</f>
        <v>077 423 20 05</v>
      </c>
      <c r="I57" s="705" t="str">
        <f>'Adressen Daten 25'!P18</f>
        <v>materialwart@fbrdaegerlen.ch</v>
      </c>
      <c r="J57">
        <v>14</v>
      </c>
    </row>
    <row r="58" spans="1:10" ht="15.5">
      <c r="A58" s="22">
        <v>53</v>
      </c>
      <c r="B58" s="704" t="str">
        <f>'Adressen Daten 25'!F19&amp;" "&amp;'Adressen Daten 25'!G19</f>
        <v>STV Dozwil ( NLB O )</v>
      </c>
      <c r="C58" s="705" t="str">
        <f>'Adressen Daten 25'!I19</f>
        <v>Josua</v>
      </c>
      <c r="D58" s="706" t="str">
        <f>'Adressen Daten 25'!J19</f>
        <v>Schlattinger</v>
      </c>
      <c r="E58" s="705">
        <f>'Adressen Daten 25'!K19</f>
        <v>0</v>
      </c>
      <c r="F58" s="705" t="str">
        <f>'Adressen Daten 25'!L19&amp;" "&amp;'Adressen Daten 25'!M19</f>
        <v xml:space="preserve"> </v>
      </c>
      <c r="G58" s="705">
        <f>'Adressen Daten 25'!N19</f>
        <v>0</v>
      </c>
      <c r="H58" s="705" t="str">
        <f>'Adressen Daten 25'!O19</f>
        <v>076 320 30 46</v>
      </c>
      <c r="I58" s="705" t="str">
        <f>'Adressen Daten 25'!P19</f>
        <v>j.schlattinger@gmx.ch</v>
      </c>
      <c r="J58">
        <v>15</v>
      </c>
    </row>
    <row r="59" spans="1:10" ht="15.5">
      <c r="A59" s="22">
        <v>54</v>
      </c>
      <c r="B59" s="704" t="str">
        <f>'Adressen Daten 25'!F21&amp;" "&amp;'Adressen Daten 25'!G21</f>
        <v>TSV Jona 1( NLB O )</v>
      </c>
      <c r="C59" s="705" t="str">
        <f>'Adressen Daten 25'!I21</f>
        <v>Fabian</v>
      </c>
      <c r="D59" s="706" t="str">
        <f>'Adressen Daten 25'!J21</f>
        <v>Zahner</v>
      </c>
      <c r="E59" s="705">
        <f>'Adressen Daten 25'!K21</f>
        <v>0</v>
      </c>
      <c r="F59" s="705" t="str">
        <f>'Adressen Daten 25'!L21&amp;" "&amp;'Adressen Daten 25'!M21</f>
        <v xml:space="preserve"> </v>
      </c>
      <c r="G59" s="705">
        <f>'Adressen Daten 25'!N21</f>
        <v>0</v>
      </c>
      <c r="H59" s="705" t="str">
        <f>'Adressen Daten 25'!O21</f>
        <v>076 592 09 17</v>
      </c>
      <c r="I59" s="705" t="str">
        <f>'Adressen Daten 25'!P21</f>
        <v>tkchef@fbjona.ch</v>
      </c>
      <c r="J59">
        <v>16</v>
      </c>
    </row>
    <row r="60" spans="1:10" ht="15.5">
      <c r="A60" s="22">
        <v>55</v>
      </c>
      <c r="B60" s="704" t="e">
        <f>'Adressen Daten 25'!#REF!&amp;" "&amp;'Adressen Daten 25'!#REF!</f>
        <v>#REF!</v>
      </c>
      <c r="C60" s="705" t="e">
        <f>'Adressen Daten 25'!#REF!</f>
        <v>#REF!</v>
      </c>
      <c r="D60" s="706" t="e">
        <f>'Adressen Daten 25'!#REF!</f>
        <v>#REF!</v>
      </c>
      <c r="E60" s="705" t="e">
        <f>'Adressen Daten 25'!#REF!</f>
        <v>#REF!</v>
      </c>
      <c r="F60" s="705" t="e">
        <f>'Adressen Daten 25'!#REF!&amp;" "&amp;'Adressen Daten 25'!#REF!</f>
        <v>#REF!</v>
      </c>
      <c r="G60" s="705" t="e">
        <f>'Adressen Daten 25'!#REF!</f>
        <v>#REF!</v>
      </c>
      <c r="H60" s="705" t="e">
        <f>'Adressen Daten 25'!#REF!</f>
        <v>#REF!</v>
      </c>
      <c r="I60" s="705" t="e">
        <f>'Adressen Daten 25'!#REF!</f>
        <v>#REF!</v>
      </c>
      <c r="J60">
        <v>17</v>
      </c>
    </row>
    <row r="61" spans="1:10" ht="15.5">
      <c r="A61" s="22">
        <v>56</v>
      </c>
      <c r="B61" s="704" t="str">
        <f>'Adressen Daten 25'!F22&amp;" "&amp;'Adressen Daten 25'!G22</f>
        <v>STV Kirchberg  ( NLB W )</v>
      </c>
      <c r="C61" s="705" t="str">
        <f>'Adressen Daten 25'!I22</f>
        <v>Rudolf</v>
      </c>
      <c r="D61" s="706" t="str">
        <f>'Adressen Daten 25'!J22</f>
        <v>Nyffenegger</v>
      </c>
      <c r="E61" s="705" t="str">
        <f>'Adressen Daten 25'!K22</f>
        <v>Solothurnerstr 31</v>
      </c>
      <c r="F61" s="705" t="str">
        <f>'Adressen Daten 25'!L22&amp;" "&amp;'Adressen Daten 25'!M22</f>
        <v>3422 Kirchberg</v>
      </c>
      <c r="G61" s="705">
        <f>'Adressen Daten 25'!N22</f>
        <v>0</v>
      </c>
      <c r="H61" s="705" t="str">
        <f>'Adressen Daten 25'!O22</f>
        <v>079 376 96 25</v>
      </c>
      <c r="I61" s="705" t="str">
        <f>'Adressen Daten 25'!P22</f>
        <v>faustball@tvkirchberg.ch</v>
      </c>
      <c r="J61">
        <v>18</v>
      </c>
    </row>
    <row r="62" spans="1:10" ht="15.5">
      <c r="A62" s="22">
        <v>57</v>
      </c>
      <c r="B62" s="704" t="str">
        <f>'Adressen Daten 25'!F23&amp;" "&amp;'Adressen Daten 25'!G23</f>
        <v>TV Oberwinterthur  (NLB )</v>
      </c>
      <c r="C62" s="705" t="str">
        <f>'Adressen Daten 25'!I23</f>
        <v>Fabio</v>
      </c>
      <c r="D62" s="706" t="str">
        <f>'Adressen Daten 25'!J23</f>
        <v>Schiess</v>
      </c>
      <c r="E62" s="705" t="str">
        <f>'Adressen Daten 25'!K23</f>
        <v>Hofwis 12</v>
      </c>
      <c r="F62" s="705" t="str">
        <f>'Adressen Daten 25'!L23&amp;" "&amp;'Adressen Daten 25'!M23</f>
        <v>8352 Elsau</v>
      </c>
      <c r="G62" s="705">
        <f>'Adressen Daten 25'!N23</f>
        <v>0</v>
      </c>
      <c r="H62" s="705" t="str">
        <f>'Adressen Daten 25'!O23</f>
        <v>079 913 84 85</v>
      </c>
      <c r="I62" s="705" t="str">
        <f>'Adressen Daten 25'!P23</f>
        <v>fabio.schiess@schiessag.ch</v>
      </c>
      <c r="J62">
        <v>19</v>
      </c>
    </row>
    <row r="63" spans="1:10" ht="15.5">
      <c r="A63" s="22">
        <v>58</v>
      </c>
      <c r="B63" s="704" t="str">
        <f>'Adressen Daten 25'!F24&amp;" "&amp;'Adressen Daten 25'!G24</f>
        <v>STV Rickenbach-Wilen 2 ( NLB )</v>
      </c>
      <c r="C63" s="705" t="str">
        <f>'Adressen Daten 25'!I24</f>
        <v>Jonas</v>
      </c>
      <c r="D63" s="706" t="str">
        <f>'Adressen Daten 25'!J24</f>
        <v>Hess</v>
      </c>
      <c r="E63" s="705">
        <f>'Adressen Daten 25'!K24</f>
        <v>0</v>
      </c>
      <c r="F63" s="705" t="str">
        <f>'Adressen Daten 25'!L24&amp;" "&amp;'Adressen Daten 25'!M24</f>
        <v xml:space="preserve"> </v>
      </c>
      <c r="G63" s="705">
        <f>'Adressen Daten 25'!N24</f>
        <v>0</v>
      </c>
      <c r="H63" s="705" t="str">
        <f>'Adressen Daten 25'!O24</f>
        <v>079 900 69 17</v>
      </c>
      <c r="I63" s="705" t="str">
        <f>'Adressen Daten 25'!P24</f>
        <v>spiko@fgriwi.ch</v>
      </c>
      <c r="J63">
        <v>20</v>
      </c>
    </row>
    <row r="64" spans="1:10" ht="15.5">
      <c r="A64" s="22">
        <v>59</v>
      </c>
      <c r="B64" s="704" t="e">
        <f>'Adressen Daten 25'!#REF!&amp;" "&amp;'Adressen Daten 25'!#REF!</f>
        <v>#REF!</v>
      </c>
      <c r="C64" s="705" t="e">
        <f>'Adressen Daten 25'!#REF!</f>
        <v>#REF!</v>
      </c>
      <c r="D64" s="706" t="e">
        <f>'Adressen Daten 25'!#REF!</f>
        <v>#REF!</v>
      </c>
      <c r="E64" s="705" t="e">
        <f>'Adressen Daten 25'!#REF!</f>
        <v>#REF!</v>
      </c>
      <c r="F64" s="705" t="e">
        <f>'Adressen Daten 25'!#REF!&amp;" "&amp;'Adressen Daten 25'!#REF!</f>
        <v>#REF!</v>
      </c>
      <c r="G64" s="705" t="e">
        <f>'Adressen Daten 25'!#REF!</f>
        <v>#REF!</v>
      </c>
      <c r="H64" s="705" t="e">
        <f>'Adressen Daten 25'!#REF!</f>
        <v>#REF!</v>
      </c>
      <c r="I64" s="705" t="e">
        <f>'Adressen Daten 25'!#REF!</f>
        <v>#REF!</v>
      </c>
      <c r="J64">
        <v>21</v>
      </c>
    </row>
    <row r="65" spans="1:10" ht="15.5">
      <c r="A65" s="22">
        <v>60</v>
      </c>
      <c r="B65" s="704" t="str">
        <f>'Adressen Daten 25'!F25&amp;" "&amp;'Adressen Daten 25'!G25</f>
        <v>STV Schlieren ( NLB O )</v>
      </c>
      <c r="C65" s="705" t="str">
        <f>'Adressen Daten 25'!I25</f>
        <v>Andreas</v>
      </c>
      <c r="D65" s="706" t="str">
        <f>'Adressen Daten 25'!J25</f>
        <v>Fritschi</v>
      </c>
      <c r="E65" s="705">
        <f>'Adressen Daten 25'!K25</f>
        <v>0</v>
      </c>
      <c r="F65" s="705" t="str">
        <f>'Adressen Daten 25'!L25&amp;" "&amp;'Adressen Daten 25'!M25</f>
        <v xml:space="preserve"> </v>
      </c>
      <c r="G65" s="705">
        <f>'Adressen Daten 25'!N25</f>
        <v>0</v>
      </c>
      <c r="H65" s="705" t="str">
        <f>'Adressen Daten 25'!O25</f>
        <v>079 602 18 32</v>
      </c>
      <c r="I65" s="705" t="str">
        <f>'Adressen Daten 25'!P25</f>
        <v>maenner@faustballschlieren.ch</v>
      </c>
      <c r="J65">
        <v>22</v>
      </c>
    </row>
    <row r="66" spans="1:10" ht="15.5">
      <c r="A66" s="22">
        <v>61</v>
      </c>
      <c r="B66" s="704" t="str">
        <f>'Adressen Daten 25'!F27&amp;" "&amp;'Adressen Daten 25'!G27</f>
        <v>FB Schwellbrunn ( NLB  O)</v>
      </c>
      <c r="C66" s="705" t="str">
        <f>'Adressen Daten 25'!I27</f>
        <v>Kenneth</v>
      </c>
      <c r="D66" s="706" t="str">
        <f>'Adressen Daten 25'!J27</f>
        <v>Schoch</v>
      </c>
      <c r="E66" s="705" t="str">
        <f>'Adressen Daten 25'!K27</f>
        <v xml:space="preserve">Ahornstr </v>
      </c>
      <c r="F66" s="705" t="str">
        <f>'Adressen Daten 25'!L27&amp;" "&amp;'Adressen Daten 25'!M27</f>
        <v>9100 Herisau</v>
      </c>
      <c r="G66" s="705">
        <f>'Adressen Daten 25'!N27</f>
        <v>0</v>
      </c>
      <c r="H66" s="705" t="str">
        <f>'Adressen Daten 25'!O27</f>
        <v>079 603 88 30</v>
      </c>
      <c r="I66" s="705" t="str">
        <f>'Adressen Daten 25'!P27</f>
        <v>kennethschoch@bluewin.ch</v>
      </c>
      <c r="J66">
        <v>23</v>
      </c>
    </row>
    <row r="67" spans="1:10" ht="15.5">
      <c r="A67" s="22">
        <v>62</v>
      </c>
      <c r="B67" s="704" t="str">
        <f>'Adressen Daten 25'!F28&amp;" "&amp;'Adressen Daten 25'!G28</f>
        <v>STV Vordemwald 1 ( NLB W )</v>
      </c>
      <c r="C67" s="705" t="str">
        <f>'Adressen Daten 25'!I28</f>
        <v>Reto</v>
      </c>
      <c r="D67" s="706" t="str">
        <f>'Adressen Daten 25'!J28</f>
        <v>von Ballmoos</v>
      </c>
      <c r="E67" s="705" t="str">
        <f>'Adressen Daten 25'!K28</f>
        <v>Rotfarbstr 9</v>
      </c>
      <c r="F67" s="705" t="str">
        <f>'Adressen Daten 25'!L28&amp;" "&amp;'Adressen Daten 25'!M28</f>
        <v>4800 Zofingen</v>
      </c>
      <c r="G67" s="705">
        <f>'Adressen Daten 25'!N28</f>
        <v>0</v>
      </c>
      <c r="H67" s="705" t="str">
        <f>'Adressen Daten 25'!O28</f>
        <v>079 721 45 82</v>
      </c>
      <c r="I67" s="705" t="str">
        <f>'Adressen Daten 25'!P28</f>
        <v>reto.vonballmoos@gmail.com</v>
      </c>
      <c r="J67">
        <v>24</v>
      </c>
    </row>
    <row r="68" spans="1:10" ht="15.5">
      <c r="A68" s="22">
        <v>63</v>
      </c>
      <c r="B68" s="704" t="str">
        <f>'Adressen Daten 25'!F30&amp;" "&amp;'Adressen Daten 25'!G30</f>
        <v>SVD Diepoldsau-Schmitter (NLA)</v>
      </c>
      <c r="C68" s="705" t="str">
        <f>'Adressen Daten 25'!I30</f>
        <v>Lorena</v>
      </c>
      <c r="D68" s="706" t="str">
        <f>'Adressen Daten 25'!J30</f>
        <v>Lipp</v>
      </c>
      <c r="E68" s="705" t="str">
        <f>'Adressen Daten 25'!K30</f>
        <v>Unterdorfstr 47</v>
      </c>
      <c r="F68" s="705" t="str">
        <f>'Adressen Daten 25'!L30&amp;" "&amp;'Adressen Daten 25'!M30</f>
        <v>9443 Widnau</v>
      </c>
      <c r="G68" s="705">
        <f>'Adressen Daten 25'!N30</f>
        <v>0</v>
      </c>
      <c r="H68" s="705" t="str">
        <f>'Adressen Daten 25'!O30</f>
        <v>076 573 09 99</v>
      </c>
      <c r="I68" s="705" t="str">
        <f>'Adressen Daten 25'!P30</f>
        <v>spiko@faustball-svd.clubdesk.com</v>
      </c>
      <c r="J68">
        <v>25</v>
      </c>
    </row>
    <row r="69" spans="1:10" ht="15.5">
      <c r="A69" s="22">
        <v>64</v>
      </c>
      <c r="B69" s="704" t="str">
        <f>'Adressen Daten 25'!F31&amp;" "&amp;'Adressen Daten 25'!G31</f>
        <v>FG Elgg-Ettenhausen 1 ( NLA )</v>
      </c>
      <c r="C69" s="705" t="str">
        <f>'Adressen Daten 25'!I31</f>
        <v>Markus</v>
      </c>
      <c r="D69" s="706" t="str">
        <f>'Adressen Daten 25'!J31</f>
        <v>Fehr</v>
      </c>
      <c r="E69" s="705" t="str">
        <f>'Adressen Daten 25'!K31</f>
        <v>Hintergasse 3a</v>
      </c>
      <c r="F69" s="705" t="str">
        <f>'Adressen Daten 25'!L31&amp;" "&amp;'Adressen Daten 25'!M31</f>
        <v>8353 Elgg</v>
      </c>
      <c r="G69" s="705" t="str">
        <f>'Adressen Daten 25'!N31</f>
        <v xml:space="preserve"> </v>
      </c>
      <c r="H69" s="705" t="str">
        <f>'Adressen Daten 25'!O31</f>
        <v>078 613 39 28</v>
      </c>
      <c r="I69" s="705" t="str">
        <f>'Adressen Daten 25'!P31</f>
        <v>fehr.markus@bluewin.ch</v>
      </c>
      <c r="J69">
        <v>26</v>
      </c>
    </row>
    <row r="70" spans="1:10" ht="15.5">
      <c r="A70" s="22">
        <v>65</v>
      </c>
      <c r="B70" s="704" t="str">
        <f>'Adressen Daten 25'!F32&amp;" "&amp;'Adressen Daten 25'!G32</f>
        <v>FG Fricktal ( NLA  )</v>
      </c>
      <c r="C70" s="705" t="str">
        <f>'Adressen Daten 25'!I32</f>
        <v>Patrick</v>
      </c>
      <c r="D70" s="706" t="str">
        <f>'Adressen Daten 25'!J32</f>
        <v>Hochreuter</v>
      </c>
      <c r="E70" s="705" t="str">
        <f>'Adressen Daten 25'!K32</f>
        <v>Scheuerackerweg 16</v>
      </c>
      <c r="F70" s="705" t="str">
        <f>'Adressen Daten 25'!L32&amp;" "&amp;'Adressen Daten 25'!M32</f>
        <v>5223 Riniken</v>
      </c>
      <c r="G70" s="705">
        <f>'Adressen Daten 25'!N32</f>
        <v>0</v>
      </c>
      <c r="H70" s="705" t="str">
        <f>'Adressen Daten 25'!O32</f>
        <v>079 238 91 30</v>
      </c>
      <c r="I70" s="705" t="str">
        <f>'Adressen Daten 25'!P32</f>
        <v>info@fgfricktal.ch</v>
      </c>
      <c r="J70">
        <v>27</v>
      </c>
    </row>
    <row r="71" spans="1:10" ht="15.5">
      <c r="A71" s="22">
        <v>66</v>
      </c>
      <c r="B71" s="704" t="str">
        <f>'Adressen Daten 25'!F33&amp;" "&amp;'Adressen Daten 25'!G33</f>
        <v>STV Oberentfelden   ( NLA )</v>
      </c>
      <c r="C71" s="705" t="str">
        <f>'Adressen Daten 25'!I33</f>
        <v>Christian</v>
      </c>
      <c r="D71" s="706" t="str">
        <f>'Adressen Daten 25'!J33</f>
        <v>Suter</v>
      </c>
      <c r="E71" s="705" t="str">
        <f>'Adressen Daten 25'!K33</f>
        <v>Aeppenhaldenstr 3b</v>
      </c>
      <c r="F71" s="705" t="str">
        <f>'Adressen Daten 25'!L33&amp;" "&amp;'Adressen Daten 25'!M33</f>
        <v>4800 Zofingen</v>
      </c>
      <c r="G71" s="705">
        <f>'Adressen Daten 25'!N33</f>
        <v>0</v>
      </c>
      <c r="H71" s="705" t="str">
        <f>'Adressen Daten 25'!O33</f>
        <v>079 476 04 32</v>
      </c>
      <c r="I71" s="705" t="str">
        <f>'Adressen Daten 25'!P33</f>
        <v>christian.suter@faustballcenter.ch</v>
      </c>
      <c r="J71">
        <v>28</v>
      </c>
    </row>
    <row r="72" spans="1:10" ht="15.5">
      <c r="A72" s="22">
        <v>67</v>
      </c>
      <c r="B72" s="704" t="e">
        <f>'Adressen Daten 25'!#REF!&amp;" "&amp;'Adressen Daten 25'!#REF!</f>
        <v>#REF!</v>
      </c>
      <c r="C72" s="705" t="e">
        <f>'Adressen Daten 25'!#REF!</f>
        <v>#REF!</v>
      </c>
      <c r="D72" s="706" t="e">
        <f>'Adressen Daten 25'!#REF!</f>
        <v>#REF!</v>
      </c>
      <c r="E72" s="705" t="e">
        <f>'Adressen Daten 25'!#REF!</f>
        <v>#REF!</v>
      </c>
      <c r="F72" s="705" t="e">
        <f>'Adressen Daten 25'!#REF!&amp;" "&amp;'Adressen Daten 25'!#REF!</f>
        <v>#REF!</v>
      </c>
      <c r="G72" s="705" t="e">
        <f>'Adressen Daten 25'!#REF!</f>
        <v>#REF!</v>
      </c>
      <c r="H72" s="705" t="e">
        <f>'Adressen Daten 25'!#REF!</f>
        <v>#REF!</v>
      </c>
      <c r="I72" s="705" t="e">
        <f>'Adressen Daten 25'!#REF!</f>
        <v>#REF!</v>
      </c>
      <c r="J72">
        <v>29</v>
      </c>
    </row>
    <row r="73" spans="1:10" ht="15.5">
      <c r="A73" s="22">
        <v>68</v>
      </c>
      <c r="B73" s="704" t="str">
        <f>'Adressen Daten 25'!F34&amp;" "&amp;'Adressen Daten 25'!G34</f>
        <v>FG Rickenbach-Wilen ( NLA )</v>
      </c>
      <c r="C73" s="705" t="str">
        <f>'Adressen Daten 25'!I34</f>
        <v>Jonas</v>
      </c>
      <c r="D73" s="706" t="str">
        <f>'Adressen Daten 25'!J34</f>
        <v>Hess</v>
      </c>
      <c r="E73" s="705">
        <f>'Adressen Daten 25'!K34</f>
        <v>0</v>
      </c>
      <c r="F73" s="705" t="str">
        <f>'Adressen Daten 25'!L34&amp;" "&amp;'Adressen Daten 25'!M34</f>
        <v xml:space="preserve"> </v>
      </c>
      <c r="G73" s="705">
        <f>'Adressen Daten 25'!N34</f>
        <v>0</v>
      </c>
      <c r="H73" s="705" t="str">
        <f>'Adressen Daten 25'!O34</f>
        <v>079 900 69 17</v>
      </c>
      <c r="I73" s="705" t="str">
        <f>'Adressen Daten 25'!P34</f>
        <v>spiko@fgriwi.ch</v>
      </c>
      <c r="J73">
        <v>30</v>
      </c>
    </row>
    <row r="74" spans="1:10" ht="15.5">
      <c r="A74" s="22">
        <v>69</v>
      </c>
      <c r="B74" s="704" t="e">
        <f>'Adressen Daten 25'!#REF!&amp;" "&amp;'Adressen Daten 25'!#REF!</f>
        <v>#REF!</v>
      </c>
      <c r="C74" s="705" t="e">
        <f>'Adressen Daten 25'!#REF!</f>
        <v>#REF!</v>
      </c>
      <c r="D74" s="706" t="e">
        <f>'Adressen Daten 25'!#REF!</f>
        <v>#REF!</v>
      </c>
      <c r="E74" s="705" t="e">
        <f>'Adressen Daten 25'!#REF!</f>
        <v>#REF!</v>
      </c>
      <c r="F74" s="705" t="e">
        <f>'Adressen Daten 25'!#REF!&amp;" "&amp;'Adressen Daten 25'!#REF!</f>
        <v>#REF!</v>
      </c>
      <c r="G74" s="705" t="e">
        <f>'Adressen Daten 25'!#REF!</f>
        <v>#REF!</v>
      </c>
      <c r="H74" s="705" t="e">
        <f>'Adressen Daten 25'!#REF!</f>
        <v>#REF!</v>
      </c>
      <c r="I74" s="705" t="e">
        <f>'Adressen Daten 25'!#REF!</f>
        <v>#REF!</v>
      </c>
      <c r="J74">
        <v>31</v>
      </c>
    </row>
    <row r="75" spans="1:10" ht="15.5">
      <c r="A75" s="22">
        <v>70</v>
      </c>
      <c r="B75" s="704" t="str">
        <f>'Adressen Daten 25'!F36&amp;" "&amp;'Adressen Daten 25'!G36</f>
        <v>STV Wigoltingen   ( NLA )</v>
      </c>
      <c r="C75" s="705" t="str">
        <f>'Adressen Daten 25'!I36</f>
        <v>David</v>
      </c>
      <c r="D75" s="706" t="str">
        <f>'Adressen Daten 25'!J36</f>
        <v>Berger</v>
      </c>
      <c r="E75" s="705" t="str">
        <f>'Adressen Daten 25'!K36</f>
        <v>Eggrainstr 25</v>
      </c>
      <c r="F75" s="705" t="str">
        <f>'Adressen Daten 25'!L36&amp;" "&amp;'Adressen Daten 25'!M36</f>
        <v>8556 Wigoltingen</v>
      </c>
      <c r="G75" s="705" t="str">
        <f>'Adressen Daten 25'!N36</f>
        <v>052 763 10 81</v>
      </c>
      <c r="H75" s="705" t="str">
        <f>'Adressen Daten 25'!O36</f>
        <v>079 388 63 87</v>
      </c>
      <c r="I75" s="705" t="str">
        <f>'Adressen Daten 25'!P36</f>
        <v>d_berger@bluewin.ch</v>
      </c>
      <c r="J75">
        <v>32</v>
      </c>
    </row>
    <row r="76" spans="1:10" ht="15.5">
      <c r="A76" s="22">
        <v>71</v>
      </c>
      <c r="B76" s="704" t="e">
        <f>'Adressen Daten 25'!#REF!&amp;" "&amp;'Adressen Daten 25'!#REF!</f>
        <v>#REF!</v>
      </c>
      <c r="C76" s="705" t="e">
        <f>'Adressen Daten 25'!#REF!</f>
        <v>#REF!</v>
      </c>
      <c r="D76" s="706" t="e">
        <f>'Adressen Daten 25'!#REF!</f>
        <v>#REF!</v>
      </c>
      <c r="E76" s="705" t="e">
        <f>'Adressen Daten 25'!#REF!</f>
        <v>#REF!</v>
      </c>
      <c r="F76" s="705" t="e">
        <f>'Adressen Daten 25'!#REF!&amp;" "&amp;'Adressen Daten 25'!#REF!</f>
        <v>#REF!</v>
      </c>
      <c r="G76" s="705" t="e">
        <f>'Adressen Daten 25'!#REF!</f>
        <v>#REF!</v>
      </c>
      <c r="H76" s="705" t="e">
        <f>'Adressen Daten 25'!#REF!</f>
        <v>#REF!</v>
      </c>
      <c r="I76" s="705" t="e">
        <f>'Adressen Daten 25'!#REF!</f>
        <v>#REF!</v>
      </c>
      <c r="J76">
        <v>33</v>
      </c>
    </row>
    <row r="77" spans="1:10" ht="15.5">
      <c r="A77" s="22">
        <v>72</v>
      </c>
      <c r="B77" s="704" t="e">
        <f>'Adressen Daten 25'!#REF!&amp;" "&amp;'Adressen Daten 25'!#REF!</f>
        <v>#REF!</v>
      </c>
      <c r="C77" s="705" t="e">
        <f>'Adressen Daten 25'!#REF!</f>
        <v>#REF!</v>
      </c>
      <c r="D77" s="706" t="e">
        <f>'Adressen Daten 25'!#REF!</f>
        <v>#REF!</v>
      </c>
      <c r="E77" s="705" t="e">
        <f>'Adressen Daten 25'!#REF!</f>
        <v>#REF!</v>
      </c>
      <c r="F77" s="705" t="e">
        <f>'Adressen Daten 25'!#REF!&amp;" "&amp;'Adressen Daten 25'!#REF!</f>
        <v>#REF!</v>
      </c>
      <c r="G77" s="705" t="e">
        <f>'Adressen Daten 25'!#REF!</f>
        <v>#REF!</v>
      </c>
      <c r="H77" s="705" t="e">
        <f>'Adressen Daten 25'!#REF!</f>
        <v>#REF!</v>
      </c>
      <c r="I77" s="705" t="e">
        <f>'Adressen Daten 25'!#REF!</f>
        <v>#REF!</v>
      </c>
      <c r="J77">
        <v>34</v>
      </c>
    </row>
    <row r="78" spans="1:10" ht="15.5">
      <c r="A78" s="22">
        <v>73</v>
      </c>
      <c r="B78" s="704" t="str">
        <f>'Adressen Daten 25'!F38&amp;" "&amp;'Adressen Daten 25'!G38</f>
        <v xml:space="preserve"> </v>
      </c>
      <c r="C78" s="705">
        <f>'Adressen Daten 25'!I38</f>
        <v>0</v>
      </c>
      <c r="D78" s="706">
        <f>'Adressen Daten 25'!J38</f>
        <v>0</v>
      </c>
      <c r="E78" s="705">
        <f>'Adressen Daten 25'!K38</f>
        <v>0</v>
      </c>
      <c r="F78" s="705" t="str">
        <f>'Adressen Daten 25'!L38&amp;" "&amp;'Adressen Daten 25'!M38</f>
        <v xml:space="preserve"> </v>
      </c>
      <c r="G78" s="705">
        <f>'Adressen Daten 25'!N38</f>
        <v>0</v>
      </c>
      <c r="H78" s="705">
        <f>'Adressen Daten 25'!O38</f>
        <v>0</v>
      </c>
      <c r="I78" s="705">
        <f>'Adressen Daten 25'!P38</f>
        <v>0</v>
      </c>
      <c r="J78">
        <v>35</v>
      </c>
    </row>
    <row r="79" spans="1:10" ht="15.5">
      <c r="A79" s="22">
        <v>74</v>
      </c>
      <c r="B79" s="704" t="str">
        <f>'Adressen Daten 25'!F39&amp;" "&amp;'Adressen Daten 25'!G39</f>
        <v xml:space="preserve"> </v>
      </c>
      <c r="C79" s="705">
        <f>'Adressen Daten 25'!I39</f>
        <v>0</v>
      </c>
      <c r="D79" s="706">
        <f>'Adressen Daten 25'!J39</f>
        <v>0</v>
      </c>
      <c r="E79" s="705">
        <f>'Adressen Daten 25'!K39</f>
        <v>0</v>
      </c>
      <c r="F79" s="705" t="str">
        <f>'Adressen Daten 25'!L39&amp;" "&amp;'Adressen Daten 25'!M39</f>
        <v xml:space="preserve"> </v>
      </c>
      <c r="G79" s="705">
        <f>'Adressen Daten 25'!N39</f>
        <v>0</v>
      </c>
      <c r="H79" s="705">
        <f>'Adressen Daten 25'!O39</f>
        <v>0</v>
      </c>
      <c r="I79" s="705">
        <f>'Adressen Daten 25'!P39</f>
        <v>0</v>
      </c>
      <c r="J79">
        <v>36</v>
      </c>
    </row>
    <row r="80" spans="1:10" ht="15.5">
      <c r="A80" s="22">
        <v>75</v>
      </c>
      <c r="B80" s="704" t="str">
        <f>'Adressen Daten 25'!F40&amp;" "&amp;'Adressen Daten 25'!G40</f>
        <v xml:space="preserve"> </v>
      </c>
      <c r="C80" s="705">
        <f>'Adressen Daten 25'!I40</f>
        <v>0</v>
      </c>
      <c r="D80" s="706">
        <f>'Adressen Daten 25'!J40</f>
        <v>0</v>
      </c>
      <c r="E80" s="705">
        <f>'Adressen Daten 25'!K40</f>
        <v>0</v>
      </c>
      <c r="F80" s="705" t="str">
        <f>'Adressen Daten 25'!L40&amp;" "&amp;'Adressen Daten 25'!M40</f>
        <v xml:space="preserve"> </v>
      </c>
      <c r="G80" s="705">
        <f>'Adressen Daten 25'!N40</f>
        <v>0</v>
      </c>
      <c r="H80" s="705">
        <f>'Adressen Daten 25'!O40</f>
        <v>0</v>
      </c>
      <c r="I80" s="705">
        <f>'Adressen Daten 25'!P40</f>
        <v>0</v>
      </c>
      <c r="J80">
        <v>37</v>
      </c>
    </row>
    <row r="81" spans="1:10" ht="15.5">
      <c r="A81" s="22">
        <v>76</v>
      </c>
      <c r="B81" s="704" t="str">
        <f>'Adressen Daten 25'!F41&amp;" "&amp;'Adressen Daten 25'!G41</f>
        <v xml:space="preserve"> </v>
      </c>
      <c r="C81" s="705">
        <f>'Adressen Daten 25'!I41</f>
        <v>0</v>
      </c>
      <c r="D81" s="706">
        <f>'Adressen Daten 25'!J41</f>
        <v>0</v>
      </c>
      <c r="E81" s="705">
        <f>'Adressen Daten 25'!K41</f>
        <v>0</v>
      </c>
      <c r="F81" s="705" t="str">
        <f>'Adressen Daten 25'!L41&amp;" "&amp;'Adressen Daten 25'!M41</f>
        <v xml:space="preserve"> </v>
      </c>
      <c r="G81" s="705">
        <f>'Adressen Daten 25'!N41</f>
        <v>0</v>
      </c>
      <c r="H81" s="705">
        <f>'Adressen Daten 25'!O41</f>
        <v>0</v>
      </c>
      <c r="I81" s="705">
        <f>'Adressen Daten 25'!P41</f>
        <v>0</v>
      </c>
      <c r="J81">
        <v>38</v>
      </c>
    </row>
    <row r="82" spans="1:10" ht="15.5">
      <c r="A82" s="22">
        <v>77</v>
      </c>
      <c r="B82" s="704" t="str">
        <f>'Adressen Daten 25'!F42&amp;" "&amp;'Adressen Daten 25'!G48</f>
        <v xml:space="preserve"> Widnau   ( NLA )</v>
      </c>
      <c r="C82" s="169"/>
      <c r="D82" s="327"/>
    </row>
    <row r="83" spans="1:10" ht="15.5">
      <c r="A83" s="22">
        <v>78</v>
      </c>
      <c r="B83" s="704" t="str">
        <f>'Adressen Daten 25'!F43&amp;" "&amp;'Adressen Daten 25'!G43</f>
        <v xml:space="preserve"> </v>
      </c>
      <c r="C83" s="169"/>
      <c r="D83" s="327"/>
    </row>
    <row r="84" spans="1:10" ht="14">
      <c r="A84" s="22">
        <v>79</v>
      </c>
      <c r="C84" s="169"/>
      <c r="D84" s="327"/>
    </row>
    <row r="85" spans="1:10" ht="14">
      <c r="A85" s="22">
        <v>80</v>
      </c>
      <c r="C85" s="169"/>
      <c r="D85" s="327"/>
    </row>
    <row r="86" spans="1:10" ht="14">
      <c r="A86" s="22">
        <v>81</v>
      </c>
      <c r="B86" t="s">
        <v>645</v>
      </c>
      <c r="C86" s="169"/>
      <c r="D86" s="327"/>
    </row>
    <row r="87" spans="1:10" ht="14" hidden="1">
      <c r="A87" s="22">
        <v>82</v>
      </c>
      <c r="B87" t="s">
        <v>645</v>
      </c>
      <c r="C87" s="169"/>
      <c r="D87" s="327"/>
    </row>
    <row r="88" spans="1:10" ht="14" hidden="1">
      <c r="A88" s="22">
        <v>83</v>
      </c>
      <c r="B88" t="s">
        <v>645</v>
      </c>
      <c r="C88" s="169"/>
      <c r="D88" s="327"/>
    </row>
    <row r="89" spans="1:10" ht="14" hidden="1">
      <c r="A89" s="22">
        <v>84</v>
      </c>
      <c r="B89" t="s">
        <v>645</v>
      </c>
      <c r="C89" s="169"/>
      <c r="D89" s="327"/>
    </row>
    <row r="90" spans="1:10" ht="14" hidden="1">
      <c r="A90" s="22">
        <v>85</v>
      </c>
      <c r="B90" t="s">
        <v>645</v>
      </c>
      <c r="C90" s="169"/>
      <c r="D90" s="327"/>
    </row>
    <row r="91" spans="1:10" ht="14" hidden="1">
      <c r="A91" s="22">
        <v>86</v>
      </c>
      <c r="B91" t="s">
        <v>645</v>
      </c>
      <c r="C91" s="169"/>
      <c r="D91" s="327"/>
    </row>
    <row r="92" spans="1:10" ht="14" hidden="1">
      <c r="A92" s="22">
        <v>87</v>
      </c>
      <c r="B92" t="s">
        <v>645</v>
      </c>
      <c r="C92" s="169"/>
      <c r="D92" s="327"/>
    </row>
    <row r="93" spans="1:10" ht="14" hidden="1">
      <c r="A93" s="22">
        <v>88</v>
      </c>
      <c r="B93" t="s">
        <v>645</v>
      </c>
      <c r="C93" s="169"/>
      <c r="D93" s="327"/>
    </row>
    <row r="94" spans="1:10" ht="14" hidden="1">
      <c r="A94" s="22">
        <v>89</v>
      </c>
      <c r="B94" t="s">
        <v>645</v>
      </c>
      <c r="C94" s="169"/>
      <c r="D94" s="327"/>
    </row>
    <row r="95" spans="1:10" ht="14" hidden="1">
      <c r="A95" s="22">
        <v>90</v>
      </c>
      <c r="B95" t="s">
        <v>645</v>
      </c>
      <c r="C95" s="169"/>
      <c r="D95" s="327"/>
    </row>
    <row r="96" spans="1:10" ht="14" hidden="1">
      <c r="A96" s="22">
        <v>91</v>
      </c>
      <c r="B96" t="s">
        <v>645</v>
      </c>
      <c r="C96" s="169"/>
      <c r="D96" s="327"/>
    </row>
    <row r="97" spans="1:4" ht="14" hidden="1">
      <c r="A97" s="22">
        <v>92</v>
      </c>
      <c r="B97" t="s">
        <v>645</v>
      </c>
      <c r="C97" s="169"/>
      <c r="D97" s="327"/>
    </row>
    <row r="98" spans="1:4" ht="14" hidden="1">
      <c r="A98" s="22">
        <v>93</v>
      </c>
      <c r="B98" t="s">
        <v>645</v>
      </c>
      <c r="C98" s="169"/>
      <c r="D98" s="327"/>
    </row>
    <row r="99" spans="1:4" ht="14" hidden="1">
      <c r="A99" s="22">
        <v>94</v>
      </c>
      <c r="B99" t="s">
        <v>645</v>
      </c>
      <c r="C99" s="169"/>
      <c r="D99" s="327"/>
    </row>
    <row r="100" spans="1:4" ht="14" hidden="1">
      <c r="A100" s="22">
        <v>95</v>
      </c>
      <c r="B100" t="s">
        <v>645</v>
      </c>
      <c r="C100" s="169"/>
      <c r="D100" s="327"/>
    </row>
    <row r="101" spans="1:4" ht="14" hidden="1">
      <c r="A101" s="22">
        <v>96</v>
      </c>
      <c r="B101" t="s">
        <v>645</v>
      </c>
      <c r="C101" s="169"/>
      <c r="D101" s="327"/>
    </row>
    <row r="102" spans="1:4" ht="14" hidden="1">
      <c r="A102" s="22">
        <v>97</v>
      </c>
      <c r="B102" t="s">
        <v>645</v>
      </c>
      <c r="C102" s="169"/>
      <c r="D102" s="327"/>
    </row>
    <row r="103" spans="1:4" ht="14" hidden="1">
      <c r="A103" s="22">
        <v>98</v>
      </c>
      <c r="B103" t="s">
        <v>645</v>
      </c>
      <c r="C103" s="169"/>
      <c r="D103" s="327"/>
    </row>
    <row r="104" spans="1:4" ht="14" hidden="1">
      <c r="A104" s="22">
        <v>99</v>
      </c>
      <c r="B104" t="s">
        <v>645</v>
      </c>
      <c r="C104" s="169"/>
      <c r="D104" s="327"/>
    </row>
    <row r="105" spans="1:4" ht="14" hidden="1">
      <c r="A105" s="22">
        <v>100</v>
      </c>
      <c r="B105" t="s">
        <v>645</v>
      </c>
      <c r="C105" s="169"/>
      <c r="D105" s="327"/>
    </row>
    <row r="106" spans="1:4" ht="14" hidden="1">
      <c r="A106" s="22">
        <v>101</v>
      </c>
      <c r="B106" t="s">
        <v>645</v>
      </c>
      <c r="C106" s="169"/>
      <c r="D106" s="327"/>
    </row>
    <row r="107" spans="1:4" ht="14" hidden="1">
      <c r="A107" s="22">
        <v>102</v>
      </c>
      <c r="B107" t="s">
        <v>645</v>
      </c>
      <c r="C107" s="169"/>
      <c r="D107" s="327"/>
    </row>
    <row r="108" spans="1:4" ht="14" hidden="1">
      <c r="A108" s="22">
        <v>103</v>
      </c>
      <c r="B108" t="s">
        <v>645</v>
      </c>
      <c r="C108" s="169"/>
      <c r="D108" s="327"/>
    </row>
    <row r="109" spans="1:4" ht="14" hidden="1">
      <c r="A109" s="22">
        <v>104</v>
      </c>
      <c r="B109" t="s">
        <v>645</v>
      </c>
      <c r="C109" s="169"/>
      <c r="D109" s="327"/>
    </row>
    <row r="110" spans="1:4" ht="14">
      <c r="A110" s="22">
        <v>105</v>
      </c>
      <c r="B110" t="s">
        <v>645</v>
      </c>
      <c r="C110" s="169"/>
      <c r="D110" s="327"/>
    </row>
    <row r="111" spans="1:4" ht="14">
      <c r="A111" s="22">
        <v>106</v>
      </c>
      <c r="C111" s="169"/>
      <c r="D111" s="327"/>
    </row>
  </sheetData>
  <mergeCells count="1">
    <mergeCell ref="C39:D42"/>
  </mergeCells>
  <pageMargins left="0.78740157480314965" right="0.78740157480314965" top="0.27559055118110237" bottom="0.27559055118110237" header="0.15748031496062992" footer="0.15748031496062992"/>
  <pageSetup paperSize="9" scale="90" orientation="portrait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3'!A5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3'!A15</f>
        <v>45799</v>
      </c>
      <c r="F6" s="1343"/>
      <c r="G6" s="1343"/>
      <c r="H6" s="1343"/>
      <c r="I6" s="1343"/>
      <c r="J6" s="1320" t="s">
        <v>324</v>
      </c>
      <c r="K6" s="1320"/>
      <c r="L6" s="1321">
        <f>'Aufgebot 3'!G15</f>
        <v>0.79166666666666663</v>
      </c>
      <c r="M6" s="1321"/>
      <c r="N6" s="1321"/>
      <c r="O6" s="1320" t="s">
        <v>323</v>
      </c>
      <c r="P6" s="1320"/>
      <c r="Q6" s="1320"/>
      <c r="R6" s="1320"/>
      <c r="S6" s="1409" t="str">
        <f>'Aufgebot 3'!L15</f>
        <v>Felben - Wellhausen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3'!Y5</f>
        <v>3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3'!A8</f>
        <v>STV Felben-W.hausen ( 2. Liga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3'!O8</f>
        <v>STV Rickenbach-Wilen 2 ( NLB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3'!A19&amp;" "&amp;'Aufgebot 3'!G19</f>
        <v>Rico Tenini +41 78 686 52 32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3'!A9</f>
        <v>Patrick Oderbolz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3'!$G$34&gt;0,1,"")</f>
        <v/>
      </c>
      <c r="H30" s="249" t="str">
        <f>IF('Aufgebot 3'!$G$34&gt;0,2,"")</f>
        <v/>
      </c>
      <c r="I30" s="249" t="str">
        <f>IF('Aufgebot 3'!$G$34=3,3,"")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G30</f>
        <v/>
      </c>
      <c r="H32" s="249" t="str">
        <f>H30</f>
        <v/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G32</f>
        <v/>
      </c>
      <c r="H34" s="249" t="str">
        <f>H32</f>
        <v/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G34</f>
        <v/>
      </c>
      <c r="H36" s="249" t="str">
        <f>H34</f>
        <v/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513" t="str">
        <f>G36</f>
        <v/>
      </c>
      <c r="H39" s="249" t="str">
        <f>H36</f>
        <v/>
      </c>
      <c r="I39" s="502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513" t="str">
        <f>G39</f>
        <v/>
      </c>
      <c r="H41" s="249" t="str">
        <f>H39</f>
        <v/>
      </c>
      <c r="I41" s="502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513" t="str">
        <f>G41</f>
        <v/>
      </c>
      <c r="H43" s="249" t="str">
        <f>H41</f>
        <v/>
      </c>
      <c r="I43" s="502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513" t="str">
        <f>G43</f>
        <v/>
      </c>
      <c r="H45" s="249" t="str">
        <f>H43</f>
        <v/>
      </c>
      <c r="I45" s="502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513" t="str">
        <f>G45</f>
        <v/>
      </c>
      <c r="H48" s="249" t="str">
        <f>H45</f>
        <v/>
      </c>
      <c r="I48" s="502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3'!Y5+1</f>
        <v>4</v>
      </c>
      <c r="Z5" s="394"/>
      <c r="AA5" s="396"/>
      <c r="AC5" s="156"/>
      <c r="AD5" s="265"/>
      <c r="AE5" s="172"/>
    </row>
    <row r="6" spans="1:33" ht="9" customHeight="1" thickBot="1">
      <c r="A6" s="363">
        <f>Eigaben!F31</f>
        <v>55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Eigaben!G31</f>
        <v>65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FG Elgg-Ettenhausen 2 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SVD Diepoldsau-Schmitter (NLA)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Christian Götsch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Lorena Lipp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Handestr 15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8357 Guntershausen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47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9443 Widnau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078 711 66 45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388" t="str">
        <f>IF(Eigaben!$AG$54=0,"",VLOOKUP($O$6,Eigaben!$Y$17:$AH$103,9,1))</f>
        <v>076 573 09 99</v>
      </c>
      <c r="V11" s="1189"/>
      <c r="W11" s="1189"/>
      <c r="X11" s="1189"/>
      <c r="Y11" s="1189"/>
      <c r="Z11" s="1189"/>
      <c r="AA11" s="1387"/>
    </row>
    <row r="12" spans="1:33" s="169" customFormat="1" ht="18.75" customHeight="1" thickBot="1">
      <c r="A12" s="1203" t="str">
        <f>VLOOKUP($A$6,Eigaben!$Y$17:$AH$103,10,1)</f>
        <v>christian.goetsch@fbv-ettenhausen.ch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spiko@faustball-svd.clubdesk.com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Eigaben!C31</f>
        <v>4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IF(Eigaben!C31=0,"",VLOOKUP(C13,Eigaben!$C$28:$V$109,13,0))</f>
        <v>45813</v>
      </c>
      <c r="B15" s="1199"/>
      <c r="C15" s="1199"/>
      <c r="D15" s="1199"/>
      <c r="E15" s="1199"/>
      <c r="F15" s="1199"/>
      <c r="G15" s="1194">
        <f>IF(Eigaben!C31=0,"",VLOOKUP(C13,Eigaben!$C$28:$V$110,14,0))</f>
        <v>0.8125</v>
      </c>
      <c r="H15" s="1194"/>
      <c r="I15" s="1194"/>
      <c r="J15" s="1194"/>
      <c r="K15" s="1194"/>
      <c r="L15" s="1195" t="str">
        <f>IF(Eigaben!C31=0,"",VLOOKUP(C13,Eigaben!$C$28:$V$1110,15,0))</f>
        <v xml:space="preserve">Ettenhausen </v>
      </c>
      <c r="M15" s="1196"/>
      <c r="N15" s="1196"/>
      <c r="O15" s="1196"/>
      <c r="P15" s="1196"/>
      <c r="Q15" s="1196"/>
      <c r="R15" s="1196"/>
      <c r="S15" s="1197"/>
      <c r="T15" s="1195" t="str">
        <f>IF(Eigaben!C31=0,"",VLOOKUP(C13,Eigaben!$C$28:$V$110,16,0))</f>
        <v>In Elgg im See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Eigaben!T31</f>
        <v>79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Daniel Ziereisen</v>
      </c>
      <c r="B19" s="1362"/>
      <c r="C19" s="1362"/>
      <c r="D19" s="1362"/>
      <c r="E19" s="1362"/>
      <c r="F19" s="1363"/>
      <c r="G19" s="860" t="str">
        <f>IF(C16=0,"",VLOOKUP(C16,Schiri_25!A2:L181,9,1))</f>
        <v>+41 79 672 26 12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+41 52 364 23 90</v>
      </c>
      <c r="N19" s="1408"/>
      <c r="O19" s="1408"/>
      <c r="P19" s="1408"/>
      <c r="Q19" s="902"/>
      <c r="R19" s="1364" t="str">
        <f>IF(C16=0,"",VLOOKUP(C16,Schiri_25!A2:L181,12,1))</f>
        <v>daniel.ziereisen@hcs-controls.ch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Eigaben!V31</f>
        <v>6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Eigaben!S31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79" priority="20" stopIfTrue="1" operator="greaterThan">
      <formula>$C$41</formula>
    </cfRule>
  </conditionalFormatting>
  <conditionalFormatting sqref="C41">
    <cfRule type="cellIs" dxfId="578" priority="10" stopIfTrue="1" operator="greaterThan">
      <formula>$A$41</formula>
    </cfRule>
    <cfRule type="cellIs" dxfId="577" priority="11" stopIfTrue="1" operator="greaterThan">
      <formula>$A$41</formula>
    </cfRule>
  </conditionalFormatting>
  <conditionalFormatting sqref="D41">
    <cfRule type="cellIs" dxfId="576" priority="19" stopIfTrue="1" operator="greaterThan">
      <formula>$F$41</formula>
    </cfRule>
  </conditionalFormatting>
  <conditionalFormatting sqref="F41">
    <cfRule type="cellIs" dxfId="575" priority="9" stopIfTrue="1" operator="greaterThan">
      <formula>$D$41</formula>
    </cfRule>
  </conditionalFormatting>
  <conditionalFormatting sqref="G41">
    <cfRule type="cellIs" dxfId="574" priority="18" stopIfTrue="1" operator="greaterThan">
      <formula>$I$41</formula>
    </cfRule>
  </conditionalFormatting>
  <conditionalFormatting sqref="I41">
    <cfRule type="cellIs" dxfId="573" priority="8" stopIfTrue="1" operator="greaterThan">
      <formula>$G$41</formula>
    </cfRule>
  </conditionalFormatting>
  <conditionalFormatting sqref="J41">
    <cfRule type="cellIs" dxfId="572" priority="17" stopIfTrue="1" operator="greaterThan">
      <formula>$L$41</formula>
    </cfRule>
  </conditionalFormatting>
  <conditionalFormatting sqref="L41">
    <cfRule type="cellIs" dxfId="571" priority="7" stopIfTrue="1" operator="greaterThan">
      <formula>$J$41</formula>
    </cfRule>
  </conditionalFormatting>
  <conditionalFormatting sqref="M41">
    <cfRule type="cellIs" dxfId="570" priority="16" stopIfTrue="1" operator="greaterThan">
      <formula>$O$41</formula>
    </cfRule>
  </conditionalFormatting>
  <conditionalFormatting sqref="O41">
    <cfRule type="cellIs" dxfId="569" priority="6" stopIfTrue="1" operator="greaterThan">
      <formula>$M$41</formula>
    </cfRule>
  </conditionalFormatting>
  <conditionalFormatting sqref="P41">
    <cfRule type="cellIs" dxfId="568" priority="15" stopIfTrue="1" operator="greaterThan">
      <formula>$R$41</formula>
    </cfRule>
  </conditionalFormatting>
  <conditionalFormatting sqref="R41">
    <cfRule type="cellIs" dxfId="567" priority="5" stopIfTrue="1" operator="greaterThan">
      <formula>$P$41</formula>
    </cfRule>
  </conditionalFormatting>
  <conditionalFormatting sqref="S41">
    <cfRule type="cellIs" dxfId="566" priority="14" stopIfTrue="1" operator="greaterThan">
      <formula>$U$41</formula>
    </cfRule>
  </conditionalFormatting>
  <conditionalFormatting sqref="U41">
    <cfRule type="cellIs" dxfId="565" priority="1" stopIfTrue="1" operator="greaterThan">
      <formula>$S$41</formula>
    </cfRule>
    <cfRule type="cellIs" dxfId="564" priority="4" stopIfTrue="1" operator="greaterThan">
      <formula>$U$41</formula>
    </cfRule>
  </conditionalFormatting>
  <conditionalFormatting sqref="V41">
    <cfRule type="cellIs" dxfId="563" priority="13" stopIfTrue="1" operator="greaterThan">
      <formula>$X$41</formula>
    </cfRule>
  </conditionalFormatting>
  <conditionalFormatting sqref="X41">
    <cfRule type="cellIs" dxfId="562" priority="3" stopIfTrue="1" operator="greaterThan">
      <formula>$V$41</formula>
    </cfRule>
  </conditionalFormatting>
  <conditionalFormatting sqref="Y41">
    <cfRule type="cellIs" dxfId="561" priority="12" stopIfTrue="1" operator="greaterThan">
      <formula>$AA$41</formula>
    </cfRule>
  </conditionalFormatting>
  <conditionalFormatting sqref="AA41">
    <cfRule type="cellIs" dxfId="560" priority="2" stopIfTrue="1" operator="greaterThan">
      <formula>$Y$41</formula>
    </cfRule>
  </conditionalFormatting>
  <hyperlinks>
    <hyperlink ref="R45" r:id="rId1" display="pabst@swissfaustball.ch" xr:uid="{00000000-0004-0000-13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11"/>
  </sheetPr>
  <dimension ref="A1:AN59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4'!A5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4'!A15</f>
        <v>45813</v>
      </c>
      <c r="F6" s="1343"/>
      <c r="G6" s="1343"/>
      <c r="H6" s="1343"/>
      <c r="I6" s="1343"/>
      <c r="J6" s="1320" t="s">
        <v>324</v>
      </c>
      <c r="K6" s="1320"/>
      <c r="L6" s="1321">
        <f>'Aufgebot 4'!G15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4'!L15</f>
        <v xml:space="preserve">Ettenhausen 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4'!Y5</f>
        <v>4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4'!A8</f>
        <v>FG Elgg-Ettenhausen 2 ( NLB O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4'!O8</f>
        <v>SVD Diepoldsau-Schmitter (NLA)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>
        <f>VLOOKUP($A$6,Eigaben!$Y$17:$AH$103,10,1)</f>
        <v>0</v>
      </c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826"/>
      <c r="S19" s="827"/>
      <c r="T19" s="828"/>
      <c r="U19" s="829"/>
      <c r="V19" s="830"/>
      <c r="W19" s="831" t="s">
        <v>134</v>
      </c>
      <c r="X19" s="1418" t="s">
        <v>134</v>
      </c>
      <c r="Y19" s="1419"/>
      <c r="Z19" s="1419"/>
      <c r="AA19" s="1419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4'!A19&amp;" "&amp;'Aufgebot 4'!G19</f>
        <v>Daniel Ziereisen +41 79 672 26 12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4'!A9</f>
        <v>Christian Götsch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4'!$G$34&gt;0,1,"")</f>
        <v>1</v>
      </c>
      <c r="H30" s="249">
        <f>IF('Aufgebot 4'!$G$34&gt;0,2,"")</f>
        <v>2</v>
      </c>
      <c r="I30" s="249" t="str">
        <f>IF('Aufgebot 4'!$G$34=3,3,"")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4'!$G$34&gt;0,1,"")</f>
        <v>1</v>
      </c>
      <c r="H32" s="249">
        <f>IF('Aufgebot 4'!$G$34&gt;0,2,"")</f>
        <v>2</v>
      </c>
      <c r="I32" s="249" t="str">
        <f>IF('Aufgebot 4'!$G$34=3,3,"")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4'!$G$34&gt;0,1,"")</f>
        <v>1</v>
      </c>
      <c r="H34" s="249">
        <f>IF('Aufgebot 4'!$G$34&gt;0,2,"")</f>
        <v>2</v>
      </c>
      <c r="I34" s="249" t="str">
        <f>IF('Aufgebot 4'!$G$34=3,3,"")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4'!$G$34&gt;0,1,"")</f>
        <v>1</v>
      </c>
      <c r="H36" s="249">
        <f>IF('Aufgebot 4'!$G$34&gt;0,2,"")</f>
        <v>2</v>
      </c>
      <c r="I36" s="249" t="str">
        <f>IF('Aufgebot 4'!$G$34=3,3,"")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4'!$G$34&gt;0,1,"")</f>
        <v>1</v>
      </c>
      <c r="H39" s="249">
        <f>IF('Aufgebot 4'!$G$34&gt;0,2,"")</f>
        <v>2</v>
      </c>
      <c r="I39" s="249" t="str">
        <f>IF('Aufgebot 4'!$G$34=3,3,"")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4'!$G$34&gt;0,1,"")</f>
        <v>1</v>
      </c>
      <c r="H41" s="249">
        <f>IF('Aufgebot 4'!$G$34&gt;0,2,"")</f>
        <v>2</v>
      </c>
      <c r="I41" s="249" t="str">
        <f>IF('Aufgebot 4'!$G$34=3,3,"")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4'!$G$34&gt;0,1,"")</f>
        <v>1</v>
      </c>
      <c r="H43" s="249">
        <f>IF('Aufgebot 4'!$G$34&gt;0,2,"")</f>
        <v>2</v>
      </c>
      <c r="I43" s="249" t="str">
        <f>IF('Aufgebot 4'!$G$34=3,3,"")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4'!$G$34&gt;0,1,"")</f>
        <v>1</v>
      </c>
      <c r="H45" s="249">
        <f>IF('Aufgebot 4'!$G$34&gt;0,2,"")</f>
        <v>2</v>
      </c>
      <c r="I45" s="249" t="str">
        <f>IF('Aufgebot 4'!$G$34=3,3,"")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4'!$G$34&gt;0,1,"")</f>
        <v>1</v>
      </c>
      <c r="H48" s="249">
        <f>IF('Aufgebot 4'!$G$34&gt;0,2,"")</f>
        <v>2</v>
      </c>
      <c r="I48" s="249" t="str">
        <f>IF('Aufgebot 4'!$G$34=3,3,"")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42" customFormat="1" ht="16" customHeight="1">
      <c r="A50" s="1313" t="s">
        <v>127</v>
      </c>
      <c r="B50" s="1314"/>
      <c r="C50" s="1315"/>
      <c r="D50" s="1315"/>
      <c r="E50" s="1316"/>
      <c r="F50" s="64" t="s">
        <v>103</v>
      </c>
      <c r="G50" s="64"/>
      <c r="H50" s="65"/>
      <c r="I50" s="1312" t="s">
        <v>102</v>
      </c>
      <c r="J50" s="1290"/>
      <c r="K50" s="1291"/>
      <c r="L50" s="1289" t="s">
        <v>101</v>
      </c>
      <c r="M50" s="1290"/>
      <c r="N50" s="1291"/>
      <c r="O50" s="1289" t="s">
        <v>100</v>
      </c>
      <c r="P50" s="1290"/>
      <c r="Q50" s="1291"/>
      <c r="R50" s="1289" t="s">
        <v>99</v>
      </c>
      <c r="S50" s="1290"/>
      <c r="T50" s="1290"/>
      <c r="U50" s="1291"/>
      <c r="V50" s="1289" t="s">
        <v>98</v>
      </c>
      <c r="W50" s="1290"/>
      <c r="X50" s="1291"/>
      <c r="Y50" s="1289" t="s">
        <v>97</v>
      </c>
      <c r="Z50" s="1290"/>
      <c r="AA50" s="1290"/>
      <c r="AB50" s="1312" t="s">
        <v>96</v>
      </c>
      <c r="AC50" s="1290"/>
      <c r="AD50" s="1291"/>
      <c r="AE50" s="1289" t="s">
        <v>95</v>
      </c>
      <c r="AF50" s="1290"/>
      <c r="AG50" s="1291"/>
      <c r="AH50" s="1257"/>
      <c r="AI50" s="1257"/>
      <c r="AJ50" s="1258"/>
    </row>
    <row r="51" spans="1:36" ht="19" customHeight="1" thickBot="1">
      <c r="A51" s="1317"/>
      <c r="B51" s="1318"/>
      <c r="C51" s="1318"/>
      <c r="D51" s="1318"/>
      <c r="E51" s="1319"/>
      <c r="F51" s="66"/>
      <c r="G51" s="130" t="s">
        <v>3</v>
      </c>
      <c r="H51" s="131"/>
      <c r="I51" s="132"/>
      <c r="J51" s="130" t="s">
        <v>3</v>
      </c>
      <c r="K51" s="131"/>
      <c r="L51" s="132"/>
      <c r="M51" s="130" t="s">
        <v>3</v>
      </c>
      <c r="N51" s="131"/>
      <c r="O51" s="132"/>
      <c r="P51" s="130" t="s">
        <v>3</v>
      </c>
      <c r="Q51" s="131"/>
      <c r="R51" s="132"/>
      <c r="S51" s="130" t="s">
        <v>3</v>
      </c>
      <c r="T51" s="130"/>
      <c r="U51" s="131"/>
      <c r="V51" s="132"/>
      <c r="W51" s="130" t="s">
        <v>3</v>
      </c>
      <c r="X51" s="131"/>
      <c r="Y51" s="132"/>
      <c r="Z51" s="130" t="s">
        <v>3</v>
      </c>
      <c r="AA51" s="131"/>
      <c r="AB51" s="132"/>
      <c r="AC51" s="130" t="s">
        <v>3</v>
      </c>
      <c r="AD51" s="131"/>
      <c r="AE51" s="132"/>
      <c r="AF51" s="130" t="s">
        <v>3</v>
      </c>
      <c r="AG51" s="67"/>
      <c r="AH51" s="1259"/>
      <c r="AI51" s="1259"/>
      <c r="AJ51" s="1260"/>
    </row>
    <row r="52" spans="1:36" ht="19" customHeight="1">
      <c r="A52" s="1269" t="s">
        <v>94</v>
      </c>
      <c r="B52" s="1270"/>
      <c r="C52" s="1271"/>
      <c r="D52" s="1271"/>
      <c r="E52" s="1272"/>
      <c r="F52" s="68"/>
      <c r="G52" s="228"/>
      <c r="H52" s="69"/>
      <c r="I52" s="68"/>
      <c r="J52" s="228"/>
      <c r="K52" s="69"/>
      <c r="L52" s="68"/>
      <c r="M52" s="228"/>
      <c r="N52" s="69"/>
      <c r="O52" s="68"/>
      <c r="P52" s="228"/>
      <c r="Q52" s="69"/>
      <c r="R52" s="68"/>
      <c r="S52" s="228"/>
      <c r="T52" s="228"/>
      <c r="U52" s="69"/>
      <c r="V52" s="68"/>
      <c r="W52" s="228"/>
      <c r="X52" s="69"/>
      <c r="Y52" s="68"/>
      <c r="Z52" s="1282" t="s">
        <v>151</v>
      </c>
      <c r="AA52" s="1283"/>
      <c r="AB52" s="1283"/>
      <c r="AC52" s="1283"/>
      <c r="AD52" s="1284"/>
      <c r="AE52" s="1276" t="s">
        <v>128</v>
      </c>
      <c r="AF52" s="1277"/>
      <c r="AG52" s="1277"/>
      <c r="AH52" s="1277"/>
      <c r="AI52" s="1277"/>
      <c r="AJ52" s="1278"/>
    </row>
    <row r="53" spans="1:36" ht="19" customHeight="1" thickBot="1">
      <c r="A53" s="1273"/>
      <c r="B53" s="1274"/>
      <c r="C53" s="1274"/>
      <c r="D53" s="1274"/>
      <c r="E53" s="1275"/>
      <c r="F53" s="70"/>
      <c r="G53" s="71"/>
      <c r="H53" s="206"/>
      <c r="I53" s="70"/>
      <c r="J53" s="71"/>
      <c r="K53" s="206"/>
      <c r="L53" s="70"/>
      <c r="M53" s="71"/>
      <c r="N53" s="206"/>
      <c r="O53" s="70"/>
      <c r="P53" s="71"/>
      <c r="Q53" s="206"/>
      <c r="R53" s="70"/>
      <c r="S53" s="71"/>
      <c r="T53" s="71"/>
      <c r="U53" s="206"/>
      <c r="V53" s="70"/>
      <c r="W53" s="71"/>
      <c r="X53" s="206"/>
      <c r="Y53" s="70"/>
      <c r="Z53" s="1261" t="s">
        <v>3</v>
      </c>
      <c r="AA53" s="1262"/>
      <c r="AB53" s="1262"/>
      <c r="AC53" s="1262"/>
      <c r="AD53" s="1263"/>
      <c r="AE53" s="1279" t="s">
        <v>3</v>
      </c>
      <c r="AF53" s="1280"/>
      <c r="AG53" s="1280"/>
      <c r="AH53" s="1280"/>
      <c r="AI53" s="1280"/>
      <c r="AJ53" s="1281"/>
    </row>
    <row r="54" spans="1:36" ht="17.149999999999999" customHeight="1" thickBot="1">
      <c r="A54" s="1285" t="s">
        <v>129</v>
      </c>
      <c r="B54" s="1286"/>
      <c r="C54" s="1287"/>
      <c r="D54" s="1287"/>
      <c r="E54" s="1287"/>
      <c r="F54" s="1287"/>
      <c r="G54" s="1287"/>
      <c r="H54" s="1287"/>
      <c r="I54" s="1287"/>
      <c r="J54" s="1287"/>
      <c r="K54" s="1287"/>
      <c r="L54" s="1287"/>
      <c r="M54" s="1287"/>
      <c r="N54" s="1287"/>
      <c r="O54" s="1287"/>
      <c r="P54" s="1287"/>
      <c r="Q54" s="1287"/>
      <c r="R54" s="1287"/>
      <c r="S54" s="1287"/>
      <c r="T54" s="1287"/>
      <c r="U54" s="1287"/>
      <c r="V54" s="1287"/>
      <c r="W54" s="1287"/>
      <c r="X54" s="1287"/>
      <c r="Y54" s="1287"/>
      <c r="Z54" s="1287"/>
      <c r="AA54" s="1287"/>
      <c r="AB54" s="1287"/>
      <c r="AC54" s="1287"/>
      <c r="AD54" s="1287"/>
      <c r="AE54" s="1287"/>
      <c r="AF54" s="1287"/>
      <c r="AG54" s="1287"/>
      <c r="AH54" s="1287"/>
      <c r="AI54" s="1287"/>
      <c r="AJ54" s="1288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14.25" customHeight="1">
      <c r="A57" s="1248" t="s">
        <v>246</v>
      </c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1250"/>
      <c r="Y57" s="1239" t="s">
        <v>342</v>
      </c>
      <c r="Z57" s="1240"/>
      <c r="AA57" s="1240"/>
      <c r="AB57" s="1240"/>
      <c r="AC57" s="1240"/>
      <c r="AD57" s="1241"/>
      <c r="AE57" s="1230">
        <f ca="1">TODAY()</f>
        <v>45897</v>
      </c>
      <c r="AF57" s="1231"/>
      <c r="AG57" s="1231"/>
      <c r="AH57" s="1231"/>
      <c r="AI57" s="1231"/>
      <c r="AJ57" s="1232"/>
    </row>
    <row r="58" spans="1:36" ht="12.75" customHeight="1">
      <c r="A58" s="1251"/>
      <c r="B58" s="1252"/>
      <c r="C58" s="1252"/>
      <c r="D58" s="1252"/>
      <c r="E58" s="1252"/>
      <c r="F58" s="1252"/>
      <c r="G58" s="1252"/>
      <c r="H58" s="1252"/>
      <c r="I58" s="1252"/>
      <c r="J58" s="1252"/>
      <c r="K58" s="1252"/>
      <c r="L58" s="1252"/>
      <c r="M58" s="1252"/>
      <c r="N58" s="1252"/>
      <c r="O58" s="1252"/>
      <c r="P58" s="1252"/>
      <c r="Q58" s="1252"/>
      <c r="R58" s="1252"/>
      <c r="S58" s="1252"/>
      <c r="T58" s="1252"/>
      <c r="U58" s="1252"/>
      <c r="V58" s="1252"/>
      <c r="W58" s="1252"/>
      <c r="X58" s="1253"/>
      <c r="Y58" s="1242"/>
      <c r="Z58" s="1243"/>
      <c r="AA58" s="1243"/>
      <c r="AB58" s="1243"/>
      <c r="AC58" s="1243"/>
      <c r="AD58" s="1244"/>
      <c r="AE58" s="1233"/>
      <c r="AF58" s="1234"/>
      <c r="AG58" s="1234"/>
      <c r="AH58" s="1234"/>
      <c r="AI58" s="1234"/>
      <c r="AJ58" s="1235"/>
    </row>
    <row r="59" spans="1:36" ht="18" customHeight="1">
      <c r="A59" s="1254"/>
      <c r="B59" s="1255"/>
      <c r="C59" s="1255"/>
      <c r="D59" s="1255"/>
      <c r="E59" s="1255"/>
      <c r="F59" s="1255"/>
      <c r="G59" s="1255"/>
      <c r="H59" s="1255"/>
      <c r="I59" s="1255"/>
      <c r="J59" s="1255"/>
      <c r="K59" s="1255"/>
      <c r="L59" s="1255"/>
      <c r="M59" s="1255"/>
      <c r="N59" s="1255"/>
      <c r="O59" s="1255"/>
      <c r="P59" s="1255"/>
      <c r="Q59" s="1255"/>
      <c r="R59" s="1255"/>
      <c r="S59" s="1255"/>
      <c r="T59" s="1255"/>
      <c r="U59" s="1255"/>
      <c r="V59" s="1255"/>
      <c r="W59" s="1255"/>
      <c r="X59" s="1256"/>
      <c r="Y59" s="1245"/>
      <c r="Z59" s="1246"/>
      <c r="AA59" s="1246"/>
      <c r="AB59" s="1246"/>
      <c r="AC59" s="1246"/>
      <c r="AD59" s="1247"/>
      <c r="AE59" s="1236"/>
      <c r="AF59" s="1237"/>
      <c r="AG59" s="1237"/>
      <c r="AH59" s="1237"/>
      <c r="AI59" s="1237"/>
      <c r="AJ59" s="1238"/>
    </row>
  </sheetData>
  <mergeCells count="89">
    <mergeCell ref="A54:AJ54"/>
    <mergeCell ref="A55:Q55"/>
    <mergeCell ref="R55:AJ55"/>
    <mergeCell ref="A56:Q56"/>
    <mergeCell ref="R56:AJ56"/>
    <mergeCell ref="A57:X59"/>
    <mergeCell ref="Y57:AD59"/>
    <mergeCell ref="AE57:AJ59"/>
    <mergeCell ref="AE50:AG50"/>
    <mergeCell ref="AH50:AJ51"/>
    <mergeCell ref="A52:E53"/>
    <mergeCell ref="Z52:AD52"/>
    <mergeCell ref="AE52:AJ52"/>
    <mergeCell ref="Z53:AD53"/>
    <mergeCell ref="AE53:AJ53"/>
    <mergeCell ref="L50:N50"/>
    <mergeCell ref="O50:Q50"/>
    <mergeCell ref="R50:U50"/>
    <mergeCell ref="V50:X50"/>
    <mergeCell ref="Y50:AA50"/>
    <mergeCell ref="AB50:AD50"/>
    <mergeCell ref="C36:C37"/>
    <mergeCell ref="D36:E37"/>
    <mergeCell ref="I50:K50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0:E51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5</v>
      </c>
      <c r="Z5" s="394"/>
      <c r="AA5" s="396"/>
      <c r="AC5" s="156"/>
      <c r="AD5" s="265"/>
      <c r="AE5" s="172"/>
    </row>
    <row r="6" spans="1:33" ht="9" customHeight="1" thickBot="1">
      <c r="A6" s="363">
        <f>Eigaben!F32</f>
        <v>53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Eigaben!G32</f>
        <v>67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Dägerlen 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Fricktal ( NLA 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Aron Werder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Patrick Hochreuter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Scheuerackerweg 16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5223 Riniken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077 423 20 05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079 238 91 30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materialwart@fbrdaegerlen.ch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info@fgfricktal.ch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Eigaben!C32</f>
        <v>5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IF(Eigaben!C32=0,"",VLOOKUP(C13,Eigaben!$C$28:$V$109,13,0))</f>
        <v>45799</v>
      </c>
      <c r="B15" s="1199"/>
      <c r="C15" s="1199"/>
      <c r="D15" s="1199"/>
      <c r="E15" s="1199"/>
      <c r="F15" s="1199"/>
      <c r="G15" s="1194">
        <f>IF(Eigaben!C3=0,"",VLOOKUP(C13,Eigaben!$C$28:$V$110,14,0))</f>
        <v>0.8125</v>
      </c>
      <c r="H15" s="1194"/>
      <c r="I15" s="1194"/>
      <c r="J15" s="1194"/>
      <c r="K15" s="1194"/>
      <c r="L15" s="1195" t="str">
        <f>IF(Eigaben!C32=0,"",VLOOKUP(C13,Eigaben!$C$28:$V$1110,15,0))</f>
        <v>8471 Dägerlen</v>
      </c>
      <c r="M15" s="1196"/>
      <c r="N15" s="1196"/>
      <c r="O15" s="1196"/>
      <c r="P15" s="1196"/>
      <c r="Q15" s="1196"/>
      <c r="R15" s="1196"/>
      <c r="S15" s="1197"/>
      <c r="T15" s="1195" t="str">
        <f>IF(Eigaben!C32=0,"",VLOOKUP(C13,Eigaben!$C$28:$V$110,16,0))</f>
        <v>Schulweg 1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Eigaben!T32</f>
        <v>7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Daniel Graf</v>
      </c>
      <c r="B19" s="1362"/>
      <c r="C19" s="1362"/>
      <c r="D19" s="1362"/>
      <c r="E19" s="1362"/>
      <c r="F19" s="1363"/>
      <c r="G19" s="860" t="str">
        <f>IF(C16=0,"",VLOOKUP(C16,Schiri_25!A2:L181,9,1))</f>
        <v>+41 79 431 31 31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darf@bluewin.ch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Eigaben!V32</f>
        <v>4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Eigaben!S32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59" priority="20" stopIfTrue="1" operator="greaterThan">
      <formula>$C$41</formula>
    </cfRule>
  </conditionalFormatting>
  <conditionalFormatting sqref="C41">
    <cfRule type="cellIs" dxfId="558" priority="10" stopIfTrue="1" operator="greaterThan">
      <formula>$A$41</formula>
    </cfRule>
    <cfRule type="cellIs" dxfId="557" priority="11" stopIfTrue="1" operator="greaterThan">
      <formula>$A$41</formula>
    </cfRule>
  </conditionalFormatting>
  <conditionalFormatting sqref="D41">
    <cfRule type="cellIs" dxfId="556" priority="19" stopIfTrue="1" operator="greaterThan">
      <formula>$F$41</formula>
    </cfRule>
  </conditionalFormatting>
  <conditionalFormatting sqref="F41">
    <cfRule type="cellIs" dxfId="555" priority="9" stopIfTrue="1" operator="greaterThan">
      <formula>$D$41</formula>
    </cfRule>
  </conditionalFormatting>
  <conditionalFormatting sqref="G41">
    <cfRule type="cellIs" dxfId="554" priority="18" stopIfTrue="1" operator="greaterThan">
      <formula>$I$41</formula>
    </cfRule>
  </conditionalFormatting>
  <conditionalFormatting sqref="I41">
    <cfRule type="cellIs" dxfId="553" priority="8" stopIfTrue="1" operator="greaterThan">
      <formula>$G$41</formula>
    </cfRule>
  </conditionalFormatting>
  <conditionalFormatting sqref="J41">
    <cfRule type="cellIs" dxfId="552" priority="17" stopIfTrue="1" operator="greaterThan">
      <formula>$L$41</formula>
    </cfRule>
  </conditionalFormatting>
  <conditionalFormatting sqref="L41">
    <cfRule type="cellIs" dxfId="551" priority="7" stopIfTrue="1" operator="greaterThan">
      <formula>$J$41</formula>
    </cfRule>
  </conditionalFormatting>
  <conditionalFormatting sqref="M41">
    <cfRule type="cellIs" dxfId="550" priority="16" stopIfTrue="1" operator="greaterThan">
      <formula>$O$41</formula>
    </cfRule>
  </conditionalFormatting>
  <conditionalFormatting sqref="O41">
    <cfRule type="cellIs" dxfId="549" priority="6" stopIfTrue="1" operator="greaterThan">
      <formula>$M$41</formula>
    </cfRule>
  </conditionalFormatting>
  <conditionalFormatting sqref="P41">
    <cfRule type="cellIs" dxfId="548" priority="15" stopIfTrue="1" operator="greaterThan">
      <formula>$R$41</formula>
    </cfRule>
  </conditionalFormatting>
  <conditionalFormatting sqref="R41">
    <cfRule type="cellIs" dxfId="547" priority="5" stopIfTrue="1" operator="greaterThan">
      <formula>$P$41</formula>
    </cfRule>
  </conditionalFormatting>
  <conditionalFormatting sqref="S41">
    <cfRule type="cellIs" dxfId="546" priority="14" stopIfTrue="1" operator="greaterThan">
      <formula>$U$41</formula>
    </cfRule>
  </conditionalFormatting>
  <conditionalFormatting sqref="U41">
    <cfRule type="cellIs" dxfId="545" priority="1" stopIfTrue="1" operator="greaterThan">
      <formula>$S$41</formula>
    </cfRule>
    <cfRule type="cellIs" dxfId="544" priority="4" stopIfTrue="1" operator="greaterThan">
      <formula>$U$41</formula>
    </cfRule>
  </conditionalFormatting>
  <conditionalFormatting sqref="V41">
    <cfRule type="cellIs" dxfId="543" priority="13" stopIfTrue="1" operator="greaterThan">
      <formula>$X$41</formula>
    </cfRule>
  </conditionalFormatting>
  <conditionalFormatting sqref="X41">
    <cfRule type="cellIs" dxfId="542" priority="3" stopIfTrue="1" operator="greaterThan">
      <formula>$V$41</formula>
    </cfRule>
  </conditionalFormatting>
  <conditionalFormatting sqref="Y41">
    <cfRule type="cellIs" dxfId="541" priority="12" stopIfTrue="1" operator="greaterThan">
      <formula>$AA$41</formula>
    </cfRule>
  </conditionalFormatting>
  <conditionalFormatting sqref="AA41">
    <cfRule type="cellIs" dxfId="540" priority="2" stopIfTrue="1" operator="greaterThan">
      <formula>$Y$41</formula>
    </cfRule>
  </conditionalFormatting>
  <hyperlinks>
    <hyperlink ref="R45" r:id="rId1" display="pabst@swissfaustball.ch" xr:uid="{00000000-0004-0000-15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11"/>
  </sheetPr>
  <dimension ref="A1:AN61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5'!A5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5'!A15</f>
        <v>45799</v>
      </c>
      <c r="F6" s="1343"/>
      <c r="G6" s="1343"/>
      <c r="H6" s="1343"/>
      <c r="I6" s="1343"/>
      <c r="J6" s="1320" t="s">
        <v>324</v>
      </c>
      <c r="K6" s="1320"/>
      <c r="L6" s="1321">
        <f>'Aufgebot 5'!G15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5'!L15</f>
        <v>8471 Dägerlen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5'!Y5</f>
        <v>5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5'!A8</f>
        <v>STV Dägerlen ( NLB O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5'!O8</f>
        <v>FG Fricktal ( NLA 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5'!A19&amp;" "&amp;'Aufgebot 5'!G19</f>
        <v>Daniel Graf +41 79 431 31 31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5'!A9</f>
        <v>Aron Werder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5'!$G$34&gt;0,1,"")</f>
        <v>1</v>
      </c>
      <c r="H30" s="249">
        <f>IF('Aufgebot 5'!$G$34&gt;0,2,"")</f>
        <v>2</v>
      </c>
      <c r="I30" s="249" t="str">
        <f>IF('Aufgebot 5'!$G$34=3,3,"")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5'!$G$34&gt;0,1,"")</f>
        <v>1</v>
      </c>
      <c r="H32" s="249">
        <f>IF('Aufgebot 5'!$G$34&gt;0,2,"")</f>
        <v>2</v>
      </c>
      <c r="I32" s="249" t="str">
        <f>IF('Aufgebot 5'!$G$34=3,3,"")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5'!$G$34&gt;0,1,"")</f>
        <v>1</v>
      </c>
      <c r="H34" s="249">
        <f>IF('Aufgebot 5'!$G$34&gt;0,2,"")</f>
        <v>2</v>
      </c>
      <c r="I34" s="249" t="str">
        <f>IF('Aufgebot 5'!$G$34=3,3,"")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5'!$G$34&gt;0,1,"")</f>
        <v>1</v>
      </c>
      <c r="H36" s="249">
        <f>IF('Aufgebot 5'!$G$34&gt;0,2,"")</f>
        <v>2</v>
      </c>
      <c r="I36" s="249" t="str">
        <f>IF('Aufgebot 5'!$G$34=3,3,"")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5'!$G$34&gt;0,1,"")</f>
        <v>1</v>
      </c>
      <c r="H39" s="249">
        <f>IF('Aufgebot 5'!$G$34&gt;0,2,"")</f>
        <v>2</v>
      </c>
      <c r="I39" s="249" t="str">
        <f>IF('Aufgebot 5'!$G$34=3,3,"")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5'!$G$34&gt;0,1,"")</f>
        <v>1</v>
      </c>
      <c r="H41" s="249">
        <f>IF('Aufgebot 5'!$G$34&gt;0,2,"")</f>
        <v>2</v>
      </c>
      <c r="I41" s="249" t="str">
        <f>IF('Aufgebot 5'!$G$34=3,3,"")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5'!$G$34&gt;0,1,"")</f>
        <v>1</v>
      </c>
      <c r="H43" s="249">
        <f>IF('Aufgebot 5'!$G$34&gt;0,2,"")</f>
        <v>2</v>
      </c>
      <c r="I43" s="249" t="str">
        <f>IF('Aufgebot 5'!$G$34=3,3,"")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5'!$G$34&gt;0,1,"")</f>
        <v>1</v>
      </c>
      <c r="H45" s="249">
        <f>IF('Aufgebot 5'!$G$34&gt;0,2,"")</f>
        <v>2</v>
      </c>
      <c r="I45" s="249" t="str">
        <f>IF('Aufgebot 5'!$G$34=3,3,"")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5'!$G$34&gt;0,1,"")</f>
        <v>1</v>
      </c>
      <c r="H48" s="249">
        <f>IF('Aufgebot 5'!$G$34&gt;0,2,"")</f>
        <v>2</v>
      </c>
      <c r="I48" s="249" t="str">
        <f>IF('Aufgebot 5'!$G$34=3,3,"")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6" customHeight="1"/>
    <row r="59" spans="1:36" ht="14.25" customHeight="1">
      <c r="A59" s="1248" t="s">
        <v>246</v>
      </c>
      <c r="B59" s="1249"/>
      <c r="C59" s="1249"/>
      <c r="D59" s="1249"/>
      <c r="E59" s="1249"/>
      <c r="F59" s="1249"/>
      <c r="G59" s="1249"/>
      <c r="H59" s="1249"/>
      <c r="I59" s="1249"/>
      <c r="J59" s="1249"/>
      <c r="K59" s="1249"/>
      <c r="L59" s="1249"/>
      <c r="M59" s="1249"/>
      <c r="N59" s="1249"/>
      <c r="O59" s="1249"/>
      <c r="P59" s="1249"/>
      <c r="Q59" s="1249"/>
      <c r="R59" s="1249"/>
      <c r="S59" s="1249"/>
      <c r="T59" s="1249"/>
      <c r="U59" s="1249"/>
      <c r="V59" s="1249"/>
      <c r="W59" s="1249"/>
      <c r="X59" s="1250"/>
      <c r="Y59" s="1239" t="s">
        <v>342</v>
      </c>
      <c r="Z59" s="1240"/>
      <c r="AA59" s="1240"/>
      <c r="AB59" s="1240"/>
      <c r="AC59" s="1240"/>
      <c r="AD59" s="1241"/>
      <c r="AE59" s="1230">
        <f ca="1">TODAY()</f>
        <v>45897</v>
      </c>
      <c r="AF59" s="1231"/>
      <c r="AG59" s="1231"/>
      <c r="AH59" s="1231"/>
      <c r="AI59" s="1231"/>
      <c r="AJ59" s="1232"/>
    </row>
    <row r="60" spans="1:36" ht="12.75" customHeight="1">
      <c r="A60" s="1251"/>
      <c r="B60" s="1252"/>
      <c r="C60" s="1252"/>
      <c r="D60" s="1252"/>
      <c r="E60" s="1252"/>
      <c r="F60" s="1252"/>
      <c r="G60" s="1252"/>
      <c r="H60" s="1252"/>
      <c r="I60" s="1252"/>
      <c r="J60" s="1252"/>
      <c r="K60" s="1252"/>
      <c r="L60" s="1252"/>
      <c r="M60" s="1252"/>
      <c r="N60" s="1252"/>
      <c r="O60" s="1252"/>
      <c r="P60" s="1252"/>
      <c r="Q60" s="1252"/>
      <c r="R60" s="1252"/>
      <c r="S60" s="1252"/>
      <c r="T60" s="1252"/>
      <c r="U60" s="1252"/>
      <c r="V60" s="1252"/>
      <c r="W60" s="1252"/>
      <c r="X60" s="1253"/>
      <c r="Y60" s="1242"/>
      <c r="Z60" s="1243"/>
      <c r="AA60" s="1243"/>
      <c r="AB60" s="1243"/>
      <c r="AC60" s="1243"/>
      <c r="AD60" s="1244"/>
      <c r="AE60" s="1233"/>
      <c r="AF60" s="1234"/>
      <c r="AG60" s="1234"/>
      <c r="AH60" s="1234"/>
      <c r="AI60" s="1234"/>
      <c r="AJ60" s="1235"/>
    </row>
    <row r="61" spans="1:36" ht="18" customHeight="1">
      <c r="A61" s="1254"/>
      <c r="B61" s="1255"/>
      <c r="C61" s="1255"/>
      <c r="D61" s="1255"/>
      <c r="E61" s="1255"/>
      <c r="F61" s="1255"/>
      <c r="G61" s="1255"/>
      <c r="H61" s="1255"/>
      <c r="I61" s="1255"/>
      <c r="J61" s="1255"/>
      <c r="K61" s="1255"/>
      <c r="L61" s="1255"/>
      <c r="M61" s="1255"/>
      <c r="N61" s="1255"/>
      <c r="O61" s="1255"/>
      <c r="P61" s="1255"/>
      <c r="Q61" s="1255"/>
      <c r="R61" s="1255"/>
      <c r="S61" s="1255"/>
      <c r="T61" s="1255"/>
      <c r="U61" s="1255"/>
      <c r="V61" s="1255"/>
      <c r="W61" s="1255"/>
      <c r="X61" s="1256"/>
      <c r="Y61" s="1245"/>
      <c r="Z61" s="1246"/>
      <c r="AA61" s="1246"/>
      <c r="AB61" s="1246"/>
      <c r="AC61" s="1246"/>
      <c r="AD61" s="1247"/>
      <c r="AE61" s="1236"/>
      <c r="AF61" s="1237"/>
      <c r="AG61" s="1237"/>
      <c r="AH61" s="1237"/>
      <c r="AI61" s="1237"/>
      <c r="AJ61" s="1238"/>
    </row>
  </sheetData>
  <mergeCells count="89">
    <mergeCell ref="A55:AJ55"/>
    <mergeCell ref="A56:Q56"/>
    <mergeCell ref="R56:AJ56"/>
    <mergeCell ref="A57:Q57"/>
    <mergeCell ref="R57:AJ57"/>
    <mergeCell ref="A59:X61"/>
    <mergeCell ref="Y59:AD61"/>
    <mergeCell ref="AE59:AJ61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6</v>
      </c>
      <c r="Z5" s="394"/>
      <c r="AA5" s="396"/>
      <c r="AC5" s="156"/>
      <c r="AD5" s="265"/>
      <c r="AE5" s="172"/>
    </row>
    <row r="6" spans="1:33" ht="9" customHeight="1" thickBot="1">
      <c r="A6" s="363">
        <f>Eigaben!F33</f>
        <v>41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Eigaben!G33</f>
        <v>50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FBV Ettenhausen ( 2. Liga S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 xml:space="preserve">TSV Jona 2  ( 1. Liga O )  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Simon  Kunz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Fabian Zahner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Matthofstr 43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8355 Aadorf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079 438 17 59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076 592 09 17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simon.kunz@fbv-ettenhausen.ch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tkchef@fbjona.ch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Eigaben!C33</f>
        <v>6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IF(Eigaben!C33=0,"",VLOOKUP(C13,Eigaben!$C$28:$V$109,13,0))</f>
        <v>45792</v>
      </c>
      <c r="B15" s="1199"/>
      <c r="C15" s="1199"/>
      <c r="D15" s="1199"/>
      <c r="E15" s="1199"/>
      <c r="F15" s="1199"/>
      <c r="G15" s="1194">
        <f>IF(Eigaben!C33=0,"",VLOOKUP(C13,Eigaben!$C$28:$V$110,14,0))</f>
        <v>0.83333333333333337</v>
      </c>
      <c r="H15" s="1194"/>
      <c r="I15" s="1194"/>
      <c r="J15" s="1194"/>
      <c r="K15" s="1194"/>
      <c r="L15" s="1195" t="str">
        <f>IF(Eigaben!C33=0,"",VLOOKUP(C13,Eigaben!$C$28:$V$1110,15,0))</f>
        <v>Ettenhausen</v>
      </c>
      <c r="M15" s="1196"/>
      <c r="N15" s="1196"/>
      <c r="O15" s="1196"/>
      <c r="P15" s="1196"/>
      <c r="Q15" s="1196"/>
      <c r="R15" s="1196"/>
      <c r="S15" s="1197"/>
      <c r="T15" s="1195" t="str">
        <f>IF(Eigaben!C33=0,"",VLOOKUP(C13,Eigaben!$C$28:$V$110,16,0))</f>
        <v>Schulhaus Ettenhausen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Eigaben!T33</f>
        <v>79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Daniel Ziereisen</v>
      </c>
      <c r="B19" s="1362"/>
      <c r="C19" s="1362"/>
      <c r="D19" s="1362"/>
      <c r="E19" s="1362"/>
      <c r="F19" s="1363"/>
      <c r="G19" s="860" t="str">
        <f>IF(C16=0,"",VLOOKUP(C16,Schiri_25!A2:L181,9,1))</f>
        <v>+41 79 672 26 12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+41 52 364 23 90</v>
      </c>
      <c r="N19" s="1408"/>
      <c r="O19" s="1408"/>
      <c r="P19" s="1408"/>
      <c r="Q19" s="902"/>
      <c r="R19" s="1364" t="str">
        <f>IF(C16=0,"",VLOOKUP(C16,Schiri_25!A2:L181,12,1))</f>
        <v>daniel.ziereisen@hcs-controls.ch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0.82291666666666674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Eigaben!V33</f>
        <v>6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Eigaben!S33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39" priority="20" stopIfTrue="1" operator="greaterThan">
      <formula>$C$41</formula>
    </cfRule>
  </conditionalFormatting>
  <conditionalFormatting sqref="C41">
    <cfRule type="cellIs" dxfId="538" priority="10" stopIfTrue="1" operator="greaterThan">
      <formula>$A$41</formula>
    </cfRule>
    <cfRule type="cellIs" dxfId="537" priority="11" stopIfTrue="1" operator="greaterThan">
      <formula>$A$41</formula>
    </cfRule>
  </conditionalFormatting>
  <conditionalFormatting sqref="D41">
    <cfRule type="cellIs" dxfId="536" priority="19" stopIfTrue="1" operator="greaterThan">
      <formula>$F$41</formula>
    </cfRule>
  </conditionalFormatting>
  <conditionalFormatting sqref="F41">
    <cfRule type="cellIs" dxfId="535" priority="9" stopIfTrue="1" operator="greaterThan">
      <formula>$D$41</formula>
    </cfRule>
  </conditionalFormatting>
  <conditionalFormatting sqref="G41">
    <cfRule type="cellIs" dxfId="534" priority="18" stopIfTrue="1" operator="greaterThan">
      <formula>$I$41</formula>
    </cfRule>
  </conditionalFormatting>
  <conditionalFormatting sqref="I41">
    <cfRule type="cellIs" dxfId="533" priority="8" stopIfTrue="1" operator="greaterThan">
      <formula>$G$41</formula>
    </cfRule>
  </conditionalFormatting>
  <conditionalFormatting sqref="J41">
    <cfRule type="cellIs" dxfId="532" priority="17" stopIfTrue="1" operator="greaterThan">
      <formula>$L$41</formula>
    </cfRule>
  </conditionalFormatting>
  <conditionalFormatting sqref="L41">
    <cfRule type="cellIs" dxfId="531" priority="7" stopIfTrue="1" operator="greaterThan">
      <formula>$J$41</formula>
    </cfRule>
  </conditionalFormatting>
  <conditionalFormatting sqref="M41">
    <cfRule type="cellIs" dxfId="530" priority="16" stopIfTrue="1" operator="greaterThan">
      <formula>$O$41</formula>
    </cfRule>
  </conditionalFormatting>
  <conditionalFormatting sqref="O41">
    <cfRule type="cellIs" dxfId="529" priority="6" stopIfTrue="1" operator="greaterThan">
      <formula>$M$41</formula>
    </cfRule>
  </conditionalFormatting>
  <conditionalFormatting sqref="P41">
    <cfRule type="cellIs" dxfId="528" priority="15" stopIfTrue="1" operator="greaterThan">
      <formula>$R$41</formula>
    </cfRule>
  </conditionalFormatting>
  <conditionalFormatting sqref="R41">
    <cfRule type="cellIs" dxfId="527" priority="5" stopIfTrue="1" operator="greaterThan">
      <formula>$P$41</formula>
    </cfRule>
  </conditionalFormatting>
  <conditionalFormatting sqref="S41">
    <cfRule type="cellIs" dxfId="526" priority="14" stopIfTrue="1" operator="greaterThan">
      <formula>$U$41</formula>
    </cfRule>
  </conditionalFormatting>
  <conditionalFormatting sqref="U41">
    <cfRule type="cellIs" dxfId="525" priority="1" stopIfTrue="1" operator="greaterThan">
      <formula>$S$41</formula>
    </cfRule>
    <cfRule type="cellIs" dxfId="524" priority="4" stopIfTrue="1" operator="greaterThan">
      <formula>$U$41</formula>
    </cfRule>
  </conditionalFormatting>
  <conditionalFormatting sqref="V41">
    <cfRule type="cellIs" dxfId="523" priority="13" stopIfTrue="1" operator="greaterThan">
      <formula>$X$41</formula>
    </cfRule>
  </conditionalFormatting>
  <conditionalFormatting sqref="X41">
    <cfRule type="cellIs" dxfId="522" priority="3" stopIfTrue="1" operator="greaterThan">
      <formula>$V$41</formula>
    </cfRule>
  </conditionalFormatting>
  <conditionalFormatting sqref="Y41">
    <cfRule type="cellIs" dxfId="521" priority="12" stopIfTrue="1" operator="greaterThan">
      <formula>$AA$41</formula>
    </cfRule>
  </conditionalFormatting>
  <conditionalFormatting sqref="AA41">
    <cfRule type="cellIs" dxfId="520" priority="2" stopIfTrue="1" operator="greaterThan">
      <formula>$Y$41</formula>
    </cfRule>
  </conditionalFormatting>
  <hyperlinks>
    <hyperlink ref="R45" r:id="rId1" display="pabst@swissfaustball.ch" xr:uid="{00000000-0004-0000-17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6'!A5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6'!A15</f>
        <v>45792</v>
      </c>
      <c r="F6" s="1343"/>
      <c r="G6" s="1343"/>
      <c r="H6" s="1343"/>
      <c r="I6" s="1343"/>
      <c r="J6" s="1320" t="s">
        <v>324</v>
      </c>
      <c r="K6" s="1320"/>
      <c r="L6" s="1321">
        <f>'Aufgebot 6'!G15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6'!L15</f>
        <v>Ettenhausen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6'!Y5</f>
        <v>6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6'!A8</f>
        <v>FBV Ettenhausen ( 2. Liga S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6'!O8</f>
        <v xml:space="preserve">TSV Jona 2  ( 1. Liga O )  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6'!A19&amp;" "&amp;'Aufgebot 6'!G19</f>
        <v>Daniel Ziereisen +41 79 672 26 12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6'!A9</f>
        <v>Simon  Kunz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6'!$G$34&gt;0,1,"")</f>
        <v>1</v>
      </c>
      <c r="H30" s="249">
        <f>IF('Aufgebot 6'!$G$34&gt;0,2,"")</f>
        <v>2</v>
      </c>
      <c r="I30" s="249" t="str">
        <f>IF('Aufgebot 6'!$G$34=3,3,"")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6'!$G$34&gt;0,1,"")</f>
        <v>1</v>
      </c>
      <c r="H32" s="249">
        <f>IF('Aufgebot 6'!$G$34&gt;0,2,"")</f>
        <v>2</v>
      </c>
      <c r="I32" s="249" t="str">
        <f>IF('Aufgebot 6'!$G$34=3,3,"")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6'!$G$34&gt;0,1,"")</f>
        <v>1</v>
      </c>
      <c r="H34" s="249">
        <f>IF('Aufgebot 6'!$G$34&gt;0,2,"")</f>
        <v>2</v>
      </c>
      <c r="I34" s="249" t="str">
        <f>IF('Aufgebot 6'!$G$34=3,3,"")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6'!$G$34&gt;0,1,"")</f>
        <v>1</v>
      </c>
      <c r="H36" s="249">
        <f>IF('Aufgebot 6'!$G$34&gt;0,2,"")</f>
        <v>2</v>
      </c>
      <c r="I36" s="249" t="str">
        <f>IF('Aufgebot 6'!$G$34=3,3,"")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6'!$G$34&gt;0,1,"")</f>
        <v>1</v>
      </c>
      <c r="H39" s="249">
        <f>IF('Aufgebot 6'!$G$34&gt;0,2,"")</f>
        <v>2</v>
      </c>
      <c r="I39" s="249" t="str">
        <f>IF('Aufgebot 6'!$G$34=3,3,"")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6'!$G$34&gt;0,1,"")</f>
        <v>1</v>
      </c>
      <c r="H41" s="249">
        <f>IF('Aufgebot 6'!$G$34&gt;0,2,"")</f>
        <v>2</v>
      </c>
      <c r="I41" s="249" t="str">
        <f>IF('Aufgebot 6'!$G$34=3,3,"")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6'!$G$34&gt;0,1,"")</f>
        <v>1</v>
      </c>
      <c r="H43" s="249">
        <f>IF('Aufgebot 6'!$G$34&gt;0,2,"")</f>
        <v>2</v>
      </c>
      <c r="I43" s="249" t="str">
        <f>IF('Aufgebot 6'!$G$34=3,3,"")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6'!$G$34&gt;0,1,"")</f>
        <v>1</v>
      </c>
      <c r="H45" s="249">
        <f>IF('Aufgebot 6'!$G$34&gt;0,2,"")</f>
        <v>2</v>
      </c>
      <c r="I45" s="249" t="str">
        <f>IF('Aufgebot 6'!$G$34=3,3,"")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6'!$G$34&gt;0,1,"")</f>
        <v>1</v>
      </c>
      <c r="H48" s="249">
        <f>IF('Aufgebot 6'!$G$34&gt;0,2,"")</f>
        <v>2</v>
      </c>
      <c r="I48" s="249" t="str">
        <f>IF('Aufgebot 6'!$G$34=3,3,"")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7</v>
      </c>
      <c r="Z5" s="394"/>
      <c r="AA5" s="396"/>
      <c r="AC5" s="156"/>
      <c r="AD5" s="265"/>
      <c r="AE5" s="172"/>
    </row>
    <row r="6" spans="1:33" ht="9" customHeight="1" thickBot="1">
      <c r="A6" s="363">
        <f>Eigaben!F34</f>
        <v>46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Eigaben!G34</f>
        <v>64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SUS Widnau   ( 2. Liga F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Affeltrangen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Marco Nüesch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Ribi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2b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8507 Hörhausen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079 404 47 21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079 585 70 85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marco.nueesch@faustball-widnau.ch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 xml:space="preserve">faustball@stv-affeltrangen.ch 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Eigaben!C34</f>
        <v>7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45811</v>
      </c>
      <c r="B15" s="1199"/>
      <c r="C15" s="1199"/>
      <c r="D15" s="1199"/>
      <c r="E15" s="1199"/>
      <c r="F15" s="1199"/>
      <c r="G15" s="1194">
        <f>IF(Eigaben!C28=0,"",VLOOKUP(C13,Eigaben!$C$28:$V$110,14,0))</f>
        <v>0.83333333333333337</v>
      </c>
      <c r="H15" s="1194"/>
      <c r="I15" s="1194"/>
      <c r="J15" s="1194"/>
      <c r="K15" s="1194"/>
      <c r="L15" s="1195" t="str">
        <f>IF(Eigaben!C28=0,"",VLOOKUP(C13,Eigaben!$C$28:$V$1110,15,0))</f>
        <v>Widnau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Lugwies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Eigaben!T34</f>
        <v>11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Richard Meyerhans</v>
      </c>
      <c r="B19" s="1362"/>
      <c r="C19" s="1362"/>
      <c r="D19" s="1362"/>
      <c r="E19" s="1362"/>
      <c r="F19" s="1363"/>
      <c r="G19" s="860" t="str">
        <f>IF(C16=0,"",VLOOKUP(C16,Schiri_25!A2:L181,9,1))</f>
        <v>+41 79 748 52 87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richi4fistball@bluewin.ch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0.82291666666666674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Eigaben!V34</f>
        <v>13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Eigaben!S34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19" priority="20" stopIfTrue="1" operator="greaterThan">
      <formula>$C$41</formula>
    </cfRule>
  </conditionalFormatting>
  <conditionalFormatting sqref="C41">
    <cfRule type="cellIs" dxfId="518" priority="10" stopIfTrue="1" operator="greaterThan">
      <formula>$A$41</formula>
    </cfRule>
    <cfRule type="cellIs" dxfId="517" priority="11" stopIfTrue="1" operator="greaterThan">
      <formula>$A$41</formula>
    </cfRule>
  </conditionalFormatting>
  <conditionalFormatting sqref="D41">
    <cfRule type="cellIs" dxfId="516" priority="19" stopIfTrue="1" operator="greaterThan">
      <formula>$F$41</formula>
    </cfRule>
  </conditionalFormatting>
  <conditionalFormatting sqref="F41">
    <cfRule type="cellIs" dxfId="515" priority="9" stopIfTrue="1" operator="greaterThan">
      <formula>$D$41</formula>
    </cfRule>
  </conditionalFormatting>
  <conditionalFormatting sqref="G41">
    <cfRule type="cellIs" dxfId="514" priority="18" stopIfTrue="1" operator="greaterThan">
      <formula>$I$41</formula>
    </cfRule>
  </conditionalFormatting>
  <conditionalFormatting sqref="I41">
    <cfRule type="cellIs" dxfId="513" priority="8" stopIfTrue="1" operator="greaterThan">
      <formula>$G$41</formula>
    </cfRule>
  </conditionalFormatting>
  <conditionalFormatting sqref="J41">
    <cfRule type="cellIs" dxfId="512" priority="17" stopIfTrue="1" operator="greaterThan">
      <formula>$L$41</formula>
    </cfRule>
  </conditionalFormatting>
  <conditionalFormatting sqref="L41">
    <cfRule type="cellIs" dxfId="511" priority="7" stopIfTrue="1" operator="greaterThan">
      <formula>$J$41</formula>
    </cfRule>
  </conditionalFormatting>
  <conditionalFormatting sqref="M41">
    <cfRule type="cellIs" dxfId="510" priority="16" stopIfTrue="1" operator="greaterThan">
      <formula>$O$41</formula>
    </cfRule>
  </conditionalFormatting>
  <conditionalFormatting sqref="O41">
    <cfRule type="cellIs" dxfId="509" priority="6" stopIfTrue="1" operator="greaterThan">
      <formula>$M$41</formula>
    </cfRule>
  </conditionalFormatting>
  <conditionalFormatting sqref="P41">
    <cfRule type="cellIs" dxfId="508" priority="15" stopIfTrue="1" operator="greaterThan">
      <formula>$R$41</formula>
    </cfRule>
  </conditionalFormatting>
  <conditionalFormatting sqref="R41">
    <cfRule type="cellIs" dxfId="507" priority="5" stopIfTrue="1" operator="greaterThan">
      <formula>$P$41</formula>
    </cfRule>
  </conditionalFormatting>
  <conditionalFormatting sqref="S41">
    <cfRule type="cellIs" dxfId="506" priority="14" stopIfTrue="1" operator="greaterThan">
      <formula>$U$41</formula>
    </cfRule>
  </conditionalFormatting>
  <conditionalFormatting sqref="U41">
    <cfRule type="cellIs" dxfId="505" priority="1" stopIfTrue="1" operator="greaterThan">
      <formula>$S$41</formula>
    </cfRule>
    <cfRule type="cellIs" dxfId="504" priority="4" stopIfTrue="1" operator="greaterThan">
      <formula>$U$41</formula>
    </cfRule>
  </conditionalFormatting>
  <conditionalFormatting sqref="V41">
    <cfRule type="cellIs" dxfId="503" priority="13" stopIfTrue="1" operator="greaterThan">
      <formula>$X$41</formula>
    </cfRule>
  </conditionalFormatting>
  <conditionalFormatting sqref="X41">
    <cfRule type="cellIs" dxfId="502" priority="3" stopIfTrue="1" operator="greaterThan">
      <formula>$V$41</formula>
    </cfRule>
  </conditionalFormatting>
  <conditionalFormatting sqref="Y41">
    <cfRule type="cellIs" dxfId="501" priority="12" stopIfTrue="1" operator="greaterThan">
      <formula>$AA$41</formula>
    </cfRule>
  </conditionalFormatting>
  <conditionalFormatting sqref="AA41">
    <cfRule type="cellIs" dxfId="500" priority="2" stopIfTrue="1" operator="greaterThan">
      <formula>$Y$41</formula>
    </cfRule>
  </conditionalFormatting>
  <hyperlinks>
    <hyperlink ref="R45" r:id="rId1" display="pabst@swissfaustball.ch" xr:uid="{00000000-0004-0000-19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7'!A5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7'!A15</f>
        <v>45811</v>
      </c>
      <c r="F6" s="1343"/>
      <c r="G6" s="1343"/>
      <c r="H6" s="1343"/>
      <c r="I6" s="1343"/>
      <c r="J6" s="1320" t="s">
        <v>324</v>
      </c>
      <c r="K6" s="1320"/>
      <c r="L6" s="1321">
        <f>'Aufgebot 7'!G15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7'!L15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7'!Y5</f>
        <v>7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7'!A8</f>
        <v>SUS Widnau   ( 2. Liga F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7'!O8</f>
        <v>STV Affeltrangen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7'!A19&amp;" "&amp;'Aufgebot 7'!G19</f>
        <v>Richard Meyerhans +41 79 748 52 87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7'!A9</f>
        <v>Marco Nüesch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7'!$G$34&gt;0,1,"")</f>
        <v>1</v>
      </c>
      <c r="H30" s="249">
        <f>IF('Aufgebot 7'!$G$34&gt;0,2,"")</f>
        <v>2</v>
      </c>
      <c r="I30" s="249">
        <f>IF('Aufgebot 7'!$G$34=3,3,"")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7'!$G$34&gt;0,1,"")</f>
        <v>1</v>
      </c>
      <c r="H32" s="249">
        <f>IF('Aufgebot 7'!$G$34&gt;0,2,"")</f>
        <v>2</v>
      </c>
      <c r="I32" s="249">
        <f>IF('Aufgebot 7'!$G$34=3,3,"")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7'!$G$34&gt;0,1,"")</f>
        <v>1</v>
      </c>
      <c r="H34" s="249">
        <f>IF('Aufgebot 7'!$G$34&gt;0,2,"")</f>
        <v>2</v>
      </c>
      <c r="I34" s="249">
        <f>IF('Aufgebot 7'!$G$34=3,3,"")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7'!$G$34&gt;0,1,"")</f>
        <v>1</v>
      </c>
      <c r="H36" s="249">
        <f>IF('Aufgebot 7'!$G$34&gt;0,2,"")</f>
        <v>2</v>
      </c>
      <c r="I36" s="249">
        <f>IF('Aufgebot 7'!$G$34=3,3,"")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7'!$G$34&gt;0,1,"")</f>
        <v>1</v>
      </c>
      <c r="H39" s="249">
        <f>IF('Aufgebot 7'!$G$34&gt;0,2,"")</f>
        <v>2</v>
      </c>
      <c r="I39" s="249">
        <f>IF('Aufgebot 7'!$G$34=3,3,"")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7'!$G$34&gt;0,1,"")</f>
        <v>1</v>
      </c>
      <c r="H41" s="249">
        <f>IF('Aufgebot 7'!$G$34&gt;0,2,"")</f>
        <v>2</v>
      </c>
      <c r="I41" s="249">
        <f>IF('Aufgebot 7'!$G$34=3,3,"")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7'!$G$34&gt;0,1,"")</f>
        <v>1</v>
      </c>
      <c r="H43" s="249">
        <f>IF('Aufgebot 7'!$G$34&gt;0,2,"")</f>
        <v>2</v>
      </c>
      <c r="I43" s="249">
        <f>IF('Aufgebot 7'!$G$34=3,3,"")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7'!$G$34&gt;0,1,"")</f>
        <v>1</v>
      </c>
      <c r="H45" s="249">
        <f>IF('Aufgebot 7'!$G$34&gt;0,2,"")</f>
        <v>2</v>
      </c>
      <c r="I45" s="249">
        <f>IF('Aufgebot 7'!$G$34=3,3,"")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7'!$G$34&gt;0,1,"")</f>
        <v>1</v>
      </c>
      <c r="H48" s="249">
        <f>IF('Aufgebot 7'!$G$34&gt;0,2,"")</f>
        <v>2</v>
      </c>
      <c r="I48" s="249">
        <f>IF('Aufgebot 7'!$G$34=3,3,"")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8</v>
      </c>
      <c r="Z5" s="394"/>
      <c r="AA5" s="396"/>
      <c r="AC5" s="156"/>
      <c r="AD5" s="265"/>
      <c r="AE5" s="172"/>
    </row>
    <row r="6" spans="1:33" ht="9" customHeight="1" thickBot="1">
      <c r="A6" s="363">
        <f>Eigaben!F35</f>
        <v>38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Eigaben!G35</f>
        <v>70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TSV Waldkirch ( 3. Liga F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SUS Widnau 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Stefan  Zielger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Remo Pinchera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Birkenstr 6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9205 Waldkirch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076 824 52 22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079 404 47 21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ziege81@icloud.com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remo.pinchera@faustball-widnau.ch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Eigaben!C35</f>
        <v>8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IF(Eigaben!C35=0,"",VLOOKUP(C13,Eigaben!$C$35:$V$109,13,0))</f>
        <v>45805</v>
      </c>
      <c r="B15" s="1199"/>
      <c r="C15" s="1199"/>
      <c r="D15" s="1199"/>
      <c r="E15" s="1199"/>
      <c r="F15" s="1199"/>
      <c r="G15" s="1194">
        <f>IF(Eigaben!C35=0,"",VLOOKUP(C13,Eigaben!$C$35:$V$110,14,0))</f>
        <v>0.8125</v>
      </c>
      <c r="H15" s="1194"/>
      <c r="I15" s="1194"/>
      <c r="J15" s="1194"/>
      <c r="K15" s="1194"/>
      <c r="L15" s="1195" t="str">
        <f>IF(Eigaben!C35=0,"",VLOOKUP(C13,Eigaben!$C$35:$V$1110,15,0))</f>
        <v>9205 Waldkirch</v>
      </c>
      <c r="M15" s="1196"/>
      <c r="N15" s="1196"/>
      <c r="O15" s="1196"/>
      <c r="P15" s="1196"/>
      <c r="Q15" s="1196"/>
      <c r="R15" s="1196"/>
      <c r="S15" s="1197"/>
      <c r="T15" s="1195" t="str">
        <f>IF(Eigaben!C35=0,"",VLOOKUP(C13,Eigaben!$C$35:$V$110,16,0))</f>
        <v>Kunstras Sportpl Breiten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Eigaben!T35</f>
        <v>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Reto Mähr</v>
      </c>
      <c r="B19" s="1362"/>
      <c r="C19" s="1362"/>
      <c r="D19" s="1362"/>
      <c r="E19" s="1362"/>
      <c r="F19" s="1363"/>
      <c r="G19" s="860" t="str">
        <f>IF(C16=0,"",VLOOKUP(C16,Schiri_25!A2:L181,9,1))</f>
        <v>+41 79 452 77 62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rmaehr@bluewin.ch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Eigaben!V35</f>
        <v>17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Eigaben!S35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499" priority="20" stopIfTrue="1" operator="greaterThan">
      <formula>$C$41</formula>
    </cfRule>
  </conditionalFormatting>
  <conditionalFormatting sqref="C41">
    <cfRule type="cellIs" dxfId="498" priority="10" stopIfTrue="1" operator="greaterThan">
      <formula>$A$41</formula>
    </cfRule>
    <cfRule type="cellIs" dxfId="497" priority="11" stopIfTrue="1" operator="greaterThan">
      <formula>$A$41</formula>
    </cfRule>
  </conditionalFormatting>
  <conditionalFormatting sqref="D41">
    <cfRule type="cellIs" dxfId="496" priority="19" stopIfTrue="1" operator="greaterThan">
      <formula>$F$41</formula>
    </cfRule>
  </conditionalFormatting>
  <conditionalFormatting sqref="F41">
    <cfRule type="cellIs" dxfId="495" priority="9" stopIfTrue="1" operator="greaterThan">
      <formula>$D$41</formula>
    </cfRule>
  </conditionalFormatting>
  <conditionalFormatting sqref="G41">
    <cfRule type="cellIs" dxfId="494" priority="18" stopIfTrue="1" operator="greaterThan">
      <formula>$I$41</formula>
    </cfRule>
  </conditionalFormatting>
  <conditionalFormatting sqref="I41">
    <cfRule type="cellIs" dxfId="493" priority="8" stopIfTrue="1" operator="greaterThan">
      <formula>$G$41</formula>
    </cfRule>
  </conditionalFormatting>
  <conditionalFormatting sqref="J41">
    <cfRule type="cellIs" dxfId="492" priority="17" stopIfTrue="1" operator="greaterThan">
      <formula>$L$41</formula>
    </cfRule>
  </conditionalFormatting>
  <conditionalFormatting sqref="L41">
    <cfRule type="cellIs" dxfId="491" priority="7" stopIfTrue="1" operator="greaterThan">
      <formula>$J$41</formula>
    </cfRule>
  </conditionalFormatting>
  <conditionalFormatting sqref="M41">
    <cfRule type="cellIs" dxfId="490" priority="16" stopIfTrue="1" operator="greaterThan">
      <formula>$O$41</formula>
    </cfRule>
  </conditionalFormatting>
  <conditionalFormatting sqref="O41">
    <cfRule type="cellIs" dxfId="489" priority="6" stopIfTrue="1" operator="greaterThan">
      <formula>$M$41</formula>
    </cfRule>
  </conditionalFormatting>
  <conditionalFormatting sqref="P41">
    <cfRule type="cellIs" dxfId="488" priority="15" stopIfTrue="1" operator="greaterThan">
      <formula>$R$41</formula>
    </cfRule>
  </conditionalFormatting>
  <conditionalFormatting sqref="R41">
    <cfRule type="cellIs" dxfId="487" priority="5" stopIfTrue="1" operator="greaterThan">
      <formula>$P$41</formula>
    </cfRule>
  </conditionalFormatting>
  <conditionalFormatting sqref="S41">
    <cfRule type="cellIs" dxfId="486" priority="14" stopIfTrue="1" operator="greaterThan">
      <formula>$U$41</formula>
    </cfRule>
  </conditionalFormatting>
  <conditionalFormatting sqref="U41">
    <cfRule type="cellIs" dxfId="485" priority="1" stopIfTrue="1" operator="greaterThan">
      <formula>$S$41</formula>
    </cfRule>
    <cfRule type="cellIs" dxfId="484" priority="4" stopIfTrue="1" operator="greaterThan">
      <formula>$U$41</formula>
    </cfRule>
  </conditionalFormatting>
  <conditionalFormatting sqref="V41">
    <cfRule type="cellIs" dxfId="483" priority="13" stopIfTrue="1" operator="greaterThan">
      <formula>$X$41</formula>
    </cfRule>
  </conditionalFormatting>
  <conditionalFormatting sqref="X41">
    <cfRule type="cellIs" dxfId="482" priority="3" stopIfTrue="1" operator="greaterThan">
      <formula>$V$41</formula>
    </cfRule>
  </conditionalFormatting>
  <conditionalFormatting sqref="Y41">
    <cfRule type="cellIs" dxfId="481" priority="12" stopIfTrue="1" operator="greaterThan">
      <formula>$AA$41</formula>
    </cfRule>
  </conditionalFormatting>
  <conditionalFormatting sqref="AA41">
    <cfRule type="cellIs" dxfId="480" priority="2" stopIfTrue="1" operator="greaterThan">
      <formula>$Y$41</formula>
    </cfRule>
  </conditionalFormatting>
  <hyperlinks>
    <hyperlink ref="R45" r:id="rId1" display="pabst@swissfaustball.ch" xr:uid="{00000000-0004-0000-1B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X88"/>
  <sheetViews>
    <sheetView workbookViewId="0">
      <selection sqref="A1:G1"/>
    </sheetView>
  </sheetViews>
  <sheetFormatPr baseColWidth="10" defaultColWidth="15.81640625" defaultRowHeight="14"/>
  <cols>
    <col min="1" max="1" width="3.7265625" style="179" bestFit="1" customWidth="1"/>
    <col min="2" max="2" width="15" style="179" hidden="1" customWidth="1"/>
    <col min="3" max="3" width="5.81640625" style="179" hidden="1" customWidth="1"/>
    <col min="4" max="4" width="16.81640625" style="179" hidden="1" customWidth="1"/>
    <col min="5" max="5" width="4.7265625" style="176" bestFit="1" customWidth="1"/>
    <col min="6" max="6" width="4.54296875" style="176" bestFit="1" customWidth="1"/>
    <col min="7" max="7" width="5.36328125" style="179" bestFit="1" customWidth="1"/>
    <col min="8" max="8" width="5.08984375" style="179" bestFit="1" customWidth="1"/>
    <col min="9" max="9" width="10.81640625" style="179" bestFit="1" customWidth="1"/>
    <col min="10" max="10" width="30.7265625" style="179" customWidth="1"/>
    <col min="11" max="11" width="9.26953125" style="179" bestFit="1" customWidth="1"/>
    <col min="12" max="12" width="13.453125" style="179" customWidth="1"/>
    <col min="13" max="13" width="20.1796875" style="179" bestFit="1" customWidth="1"/>
    <col min="14" max="14" width="7.90625" style="176" customWidth="1"/>
    <col min="15" max="15" width="17.26953125" style="179" bestFit="1" customWidth="1"/>
    <col min="16" max="16" width="15.81640625" style="447" customWidth="1"/>
    <col min="17" max="17" width="15.81640625" style="176" customWidth="1"/>
    <col min="18" max="18" width="32.7265625" style="179" bestFit="1" customWidth="1"/>
    <col min="19" max="20" width="4.7265625" style="172" customWidth="1"/>
    <col min="21" max="21" width="21" style="179" bestFit="1" customWidth="1"/>
    <col min="22" max="22" width="18.453125" style="179" bestFit="1" customWidth="1"/>
    <col min="23" max="23" width="19.54296875" style="179" bestFit="1" customWidth="1"/>
    <col min="24" max="16384" width="15.81640625" style="179"/>
  </cols>
  <sheetData>
    <row r="1" spans="1:23" ht="33.75" customHeight="1" thickBot="1">
      <c r="A1" s="879" t="s">
        <v>707</v>
      </c>
      <c r="B1" s="879"/>
      <c r="C1" s="879"/>
      <c r="D1" s="879"/>
      <c r="E1" s="879"/>
      <c r="F1" s="879"/>
      <c r="G1" s="879"/>
      <c r="H1" s="878" t="str">
        <f>Eigaben!Z3</f>
        <v>37. Schweizer Cup Männer 2025</v>
      </c>
      <c r="I1" s="878"/>
      <c r="J1" s="878"/>
      <c r="K1" s="878"/>
      <c r="L1" s="878"/>
    </row>
    <row r="2" spans="1:23" s="172" customFormat="1" ht="19.5" customHeight="1">
      <c r="A2" s="427"/>
      <c r="B2" s="426"/>
      <c r="C2" s="426"/>
      <c r="D2" s="426"/>
      <c r="E2" s="426" t="s">
        <v>706</v>
      </c>
      <c r="F2" s="426" t="s">
        <v>705</v>
      </c>
      <c r="G2" s="426" t="s">
        <v>659</v>
      </c>
      <c r="H2" s="426" t="s">
        <v>658</v>
      </c>
      <c r="I2" s="426"/>
      <c r="J2" s="193"/>
      <c r="K2" s="182" t="s">
        <v>36</v>
      </c>
      <c r="L2" s="182" t="s">
        <v>37</v>
      </c>
      <c r="M2" s="434" t="s">
        <v>8</v>
      </c>
      <c r="N2" s="435" t="s">
        <v>9</v>
      </c>
      <c r="O2" s="434" t="s">
        <v>6</v>
      </c>
      <c r="P2" s="435" t="s">
        <v>10</v>
      </c>
      <c r="Q2" s="435" t="s">
        <v>11</v>
      </c>
      <c r="R2" s="436" t="s">
        <v>12</v>
      </c>
      <c r="S2" s="436" t="s">
        <v>229</v>
      </c>
      <c r="T2" s="436" t="s">
        <v>230</v>
      </c>
      <c r="V2" s="172" t="s">
        <v>838</v>
      </c>
    </row>
    <row r="3" spans="1:23">
      <c r="A3" s="437">
        <v>1</v>
      </c>
      <c r="B3" s="388"/>
      <c r="C3" s="438"/>
      <c r="D3" s="438"/>
      <c r="E3" s="413">
        <v>2</v>
      </c>
      <c r="F3" s="414"/>
      <c r="G3" s="418"/>
      <c r="H3" s="417"/>
      <c r="I3" s="418" t="s">
        <v>261</v>
      </c>
      <c r="J3" s="417" t="s">
        <v>704</v>
      </c>
      <c r="K3" s="418" t="s">
        <v>686</v>
      </c>
      <c r="L3" s="418" t="s">
        <v>438</v>
      </c>
      <c r="M3" s="418" t="s">
        <v>703</v>
      </c>
      <c r="N3" s="414">
        <v>9542</v>
      </c>
      <c r="O3" s="418" t="s">
        <v>702</v>
      </c>
      <c r="P3" s="441"/>
      <c r="Q3" s="413" t="s">
        <v>442</v>
      </c>
      <c r="R3" s="416" t="s">
        <v>683</v>
      </c>
      <c r="S3" s="388"/>
      <c r="T3" s="412"/>
      <c r="U3" s="171"/>
    </row>
    <row r="4" spans="1:23">
      <c r="A4" s="437">
        <v>2</v>
      </c>
      <c r="B4" s="388"/>
      <c r="C4" s="438"/>
      <c r="D4" s="438"/>
      <c r="E4" s="413">
        <v>2</v>
      </c>
      <c r="F4" s="414"/>
      <c r="G4" s="418"/>
      <c r="H4" s="417"/>
      <c r="I4" s="428" t="s">
        <v>261</v>
      </c>
      <c r="J4" s="417" t="s">
        <v>708</v>
      </c>
      <c r="K4" s="428" t="s">
        <v>709</v>
      </c>
      <c r="L4" s="428" t="s">
        <v>710</v>
      </c>
      <c r="M4" s="428" t="s">
        <v>711</v>
      </c>
      <c r="N4" s="414">
        <v>8910</v>
      </c>
      <c r="O4" s="428" t="s">
        <v>712</v>
      </c>
      <c r="P4" s="441"/>
      <c r="Q4" s="413" t="s">
        <v>713</v>
      </c>
      <c r="R4" s="416" t="s">
        <v>714</v>
      </c>
      <c r="S4" s="388"/>
      <c r="T4" s="412"/>
      <c r="U4" s="171">
        <v>60</v>
      </c>
    </row>
    <row r="5" spans="1:23">
      <c r="A5" s="437">
        <v>3</v>
      </c>
      <c r="B5" s="388"/>
      <c r="C5" s="438"/>
      <c r="D5" s="438"/>
      <c r="E5" s="414">
        <v>2</v>
      </c>
      <c r="F5" s="414"/>
      <c r="G5" s="421"/>
      <c r="H5" s="421"/>
      <c r="I5" s="462" t="s">
        <v>775</v>
      </c>
      <c r="J5" s="417" t="s">
        <v>776</v>
      </c>
      <c r="K5" s="462" t="s">
        <v>777</v>
      </c>
      <c r="L5" s="462" t="s">
        <v>778</v>
      </c>
      <c r="M5" s="462" t="s">
        <v>779</v>
      </c>
      <c r="N5" s="414">
        <v>6374</v>
      </c>
      <c r="O5" s="462" t="s">
        <v>780</v>
      </c>
      <c r="P5" s="441"/>
      <c r="Q5" s="413" t="s">
        <v>797</v>
      </c>
      <c r="R5" s="416" t="s">
        <v>781</v>
      </c>
      <c r="S5" s="388"/>
      <c r="T5" s="412"/>
      <c r="U5" s="171">
        <v>60</v>
      </c>
    </row>
    <row r="6" spans="1:23">
      <c r="A6" s="437">
        <v>4</v>
      </c>
      <c r="B6" s="388"/>
      <c r="C6" s="438"/>
      <c r="D6" s="438"/>
      <c r="E6" s="413">
        <v>2</v>
      </c>
      <c r="F6" s="414"/>
      <c r="G6" s="418"/>
      <c r="H6" s="417"/>
      <c r="I6" s="418" t="s">
        <v>364</v>
      </c>
      <c r="J6" s="417" t="s">
        <v>396</v>
      </c>
      <c r="K6" s="418" t="s">
        <v>365</v>
      </c>
      <c r="L6" s="418" t="s">
        <v>366</v>
      </c>
      <c r="M6" s="432" t="s">
        <v>741</v>
      </c>
      <c r="N6" s="414">
        <v>5027</v>
      </c>
      <c r="O6" s="418" t="s">
        <v>377</v>
      </c>
      <c r="P6" s="441"/>
      <c r="Q6" s="413" t="s">
        <v>397</v>
      </c>
      <c r="R6" s="416" t="s">
        <v>398</v>
      </c>
      <c r="S6" s="388"/>
      <c r="T6" s="412"/>
      <c r="U6" s="171">
        <v>60</v>
      </c>
    </row>
    <row r="7" spans="1:23">
      <c r="A7" s="437">
        <v>5</v>
      </c>
      <c r="B7" s="388"/>
      <c r="C7" s="438"/>
      <c r="D7" s="438"/>
      <c r="E7" s="413">
        <v>2</v>
      </c>
      <c r="F7" s="413"/>
      <c r="G7" s="417"/>
      <c r="H7" s="417"/>
      <c r="I7" s="429" t="s">
        <v>263</v>
      </c>
      <c r="J7" s="417" t="s">
        <v>734</v>
      </c>
      <c r="K7" s="429" t="s">
        <v>290</v>
      </c>
      <c r="L7" s="429" t="s">
        <v>720</v>
      </c>
      <c r="M7" s="429" t="s">
        <v>721</v>
      </c>
      <c r="N7" s="414">
        <v>6973</v>
      </c>
      <c r="O7" s="429" t="s">
        <v>722</v>
      </c>
      <c r="P7" s="441"/>
      <c r="Q7" s="413">
        <v>436781228600</v>
      </c>
      <c r="R7" s="416" t="s">
        <v>723</v>
      </c>
      <c r="S7" s="388"/>
      <c r="T7" s="412"/>
      <c r="U7" s="171">
        <v>60</v>
      </c>
    </row>
    <row r="8" spans="1:23">
      <c r="A8" s="437">
        <v>6</v>
      </c>
      <c r="B8" s="388"/>
      <c r="C8" s="438"/>
      <c r="D8" s="438"/>
      <c r="E8" s="413">
        <v>2</v>
      </c>
      <c r="F8" s="414"/>
      <c r="G8" s="418"/>
      <c r="H8" s="417"/>
      <c r="I8" s="418" t="s">
        <v>417</v>
      </c>
      <c r="J8" s="417" t="s">
        <v>766</v>
      </c>
      <c r="K8" s="461" t="s">
        <v>23</v>
      </c>
      <c r="L8" s="461" t="s">
        <v>767</v>
      </c>
      <c r="M8" s="461" t="s">
        <v>768</v>
      </c>
      <c r="N8" s="414">
        <v>6454</v>
      </c>
      <c r="O8" s="461" t="s">
        <v>769</v>
      </c>
      <c r="P8" s="441"/>
      <c r="Q8" s="413" t="s">
        <v>770</v>
      </c>
      <c r="R8" s="416" t="s">
        <v>771</v>
      </c>
      <c r="S8" s="388"/>
      <c r="T8" s="412"/>
      <c r="U8" s="171">
        <v>60</v>
      </c>
    </row>
    <row r="9" spans="1:23">
      <c r="A9" s="437">
        <v>7</v>
      </c>
      <c r="B9" s="388"/>
      <c r="C9" s="438"/>
      <c r="D9" s="438"/>
      <c r="E9" s="413">
        <v>2</v>
      </c>
      <c r="F9" s="414"/>
      <c r="G9" s="418"/>
      <c r="H9" s="421"/>
      <c r="I9" s="465" t="s">
        <v>264</v>
      </c>
      <c r="J9" s="417" t="s">
        <v>782</v>
      </c>
      <c r="K9" s="465" t="s">
        <v>783</v>
      </c>
      <c r="L9" s="465" t="s">
        <v>784</v>
      </c>
      <c r="M9" s="465" t="s">
        <v>785</v>
      </c>
      <c r="N9" s="414">
        <v>8406</v>
      </c>
      <c r="O9" s="418" t="s">
        <v>228</v>
      </c>
      <c r="P9" s="441"/>
      <c r="Q9" s="413" t="s">
        <v>786</v>
      </c>
      <c r="R9" s="416" t="s">
        <v>787</v>
      </c>
      <c r="S9" s="388"/>
      <c r="T9" s="412"/>
      <c r="U9" s="171">
        <v>60</v>
      </c>
    </row>
    <row r="10" spans="1:23">
      <c r="A10" s="437">
        <v>8</v>
      </c>
      <c r="B10" s="388"/>
      <c r="C10" s="438"/>
      <c r="D10" s="438"/>
      <c r="E10" s="413">
        <v>2</v>
      </c>
      <c r="F10" s="420"/>
      <c r="G10" s="417"/>
      <c r="H10" s="417"/>
      <c r="I10" s="418" t="s">
        <v>263</v>
      </c>
      <c r="J10" s="417" t="s">
        <v>794</v>
      </c>
      <c r="K10" s="417" t="s">
        <v>701</v>
      </c>
      <c r="L10" s="417" t="s">
        <v>700</v>
      </c>
      <c r="M10" s="417" t="s">
        <v>699</v>
      </c>
      <c r="N10" s="413">
        <v>8588</v>
      </c>
      <c r="O10" s="417" t="s">
        <v>698</v>
      </c>
      <c r="P10" s="441"/>
      <c r="Q10" s="413" t="s">
        <v>697</v>
      </c>
      <c r="R10" s="416" t="s">
        <v>696</v>
      </c>
      <c r="S10" s="388"/>
      <c r="T10" s="424"/>
      <c r="U10" s="171">
        <v>60</v>
      </c>
    </row>
    <row r="11" spans="1:23">
      <c r="A11" s="437">
        <v>9</v>
      </c>
      <c r="B11" s="388" t="s">
        <v>35</v>
      </c>
      <c r="C11" s="438" t="s">
        <v>33</v>
      </c>
      <c r="D11" s="438" t="s">
        <v>34</v>
      </c>
      <c r="E11" s="413" t="s">
        <v>665</v>
      </c>
      <c r="F11" s="420"/>
      <c r="G11" s="417"/>
      <c r="H11" s="425"/>
      <c r="I11" s="417" t="s">
        <v>727</v>
      </c>
      <c r="J11" s="417" t="s">
        <v>798</v>
      </c>
      <c r="K11" s="439" t="s">
        <v>729</v>
      </c>
      <c r="L11" s="439" t="s">
        <v>730</v>
      </c>
      <c r="M11" s="440"/>
      <c r="N11" s="414">
        <v>9444</v>
      </c>
      <c r="O11" s="439" t="s">
        <v>731</v>
      </c>
      <c r="P11" s="441"/>
      <c r="Q11" s="413" t="s">
        <v>732</v>
      </c>
      <c r="R11" s="442" t="s">
        <v>733</v>
      </c>
      <c r="S11" s="388"/>
      <c r="T11" s="412"/>
      <c r="U11" s="171">
        <v>60</v>
      </c>
    </row>
    <row r="12" spans="1:23">
      <c r="A12" s="437">
        <v>10</v>
      </c>
      <c r="B12" s="388"/>
      <c r="C12" s="438"/>
      <c r="D12" s="438"/>
      <c r="E12" s="413" t="s">
        <v>665</v>
      </c>
      <c r="F12" s="420"/>
      <c r="G12" s="417"/>
      <c r="H12" s="425"/>
      <c r="I12" s="417" t="s">
        <v>364</v>
      </c>
      <c r="J12" s="417" t="s">
        <v>793</v>
      </c>
      <c r="K12" s="417" t="s">
        <v>16</v>
      </c>
      <c r="L12" s="417" t="s">
        <v>742</v>
      </c>
      <c r="M12" s="417" t="s">
        <v>743</v>
      </c>
      <c r="N12" s="413">
        <v>8512</v>
      </c>
      <c r="O12" s="417" t="s">
        <v>212</v>
      </c>
      <c r="P12" s="441" t="s">
        <v>744</v>
      </c>
      <c r="Q12" s="413" t="s">
        <v>745</v>
      </c>
      <c r="R12" s="416" t="s">
        <v>746</v>
      </c>
      <c r="S12" s="388"/>
      <c r="T12" s="412"/>
      <c r="U12" s="171">
        <v>60</v>
      </c>
    </row>
    <row r="13" spans="1:23">
      <c r="A13" s="437">
        <v>11</v>
      </c>
      <c r="B13" s="388" t="s">
        <v>35</v>
      </c>
      <c r="C13" s="438" t="s">
        <v>33</v>
      </c>
      <c r="D13" s="438" t="s">
        <v>34</v>
      </c>
      <c r="E13" s="414"/>
      <c r="F13" s="414"/>
      <c r="G13" s="421"/>
      <c r="H13" s="421" t="s">
        <v>658</v>
      </c>
      <c r="I13" s="417" t="s">
        <v>261</v>
      </c>
      <c r="J13" s="423" t="s">
        <v>834</v>
      </c>
      <c r="K13" s="418" t="s">
        <v>22</v>
      </c>
      <c r="L13" s="418" t="s">
        <v>438</v>
      </c>
      <c r="M13" s="689" t="s">
        <v>439</v>
      </c>
      <c r="N13" s="414">
        <v>9542</v>
      </c>
      <c r="O13" s="418" t="s">
        <v>440</v>
      </c>
      <c r="P13" s="441" t="s">
        <v>441</v>
      </c>
      <c r="Q13" s="413" t="s">
        <v>442</v>
      </c>
      <c r="R13" s="416" t="s">
        <v>443</v>
      </c>
      <c r="S13" s="388" t="s">
        <v>416</v>
      </c>
      <c r="T13" s="412"/>
      <c r="U13" s="171">
        <v>60</v>
      </c>
    </row>
    <row r="14" spans="1:23">
      <c r="A14" s="437"/>
      <c r="B14" s="388"/>
      <c r="C14" s="438"/>
      <c r="D14" s="438"/>
      <c r="E14" s="414"/>
      <c r="F14" s="414"/>
      <c r="G14" s="417" t="s">
        <v>659</v>
      </c>
      <c r="H14" s="417"/>
      <c r="I14" s="417" t="s">
        <v>261</v>
      </c>
      <c r="J14" s="417" t="s">
        <v>765</v>
      </c>
      <c r="K14" s="417" t="s">
        <v>715</v>
      </c>
      <c r="L14" s="417" t="s">
        <v>407</v>
      </c>
      <c r="M14" s="417" t="s">
        <v>716</v>
      </c>
      <c r="N14" s="413">
        <v>8582</v>
      </c>
      <c r="O14" s="417" t="s">
        <v>717</v>
      </c>
      <c r="P14" s="441"/>
      <c r="Q14" s="413" t="s">
        <v>718</v>
      </c>
      <c r="R14" s="416" t="s">
        <v>719</v>
      </c>
      <c r="S14" s="388"/>
      <c r="T14" s="412"/>
      <c r="U14" s="171">
        <v>60</v>
      </c>
    </row>
    <row r="15" spans="1:23">
      <c r="A15" s="437">
        <v>12</v>
      </c>
      <c r="B15" s="443"/>
      <c r="C15" s="443"/>
      <c r="D15" s="443"/>
      <c r="E15" s="414"/>
      <c r="F15" s="414"/>
      <c r="G15" s="418" t="s">
        <v>659</v>
      </c>
      <c r="H15" s="417"/>
      <c r="I15" s="418" t="s">
        <v>265</v>
      </c>
      <c r="J15" s="423" t="s">
        <v>804</v>
      </c>
      <c r="K15" s="417" t="s">
        <v>180</v>
      </c>
      <c r="L15" s="417" t="s">
        <v>689</v>
      </c>
      <c r="M15" s="417" t="s">
        <v>688</v>
      </c>
      <c r="N15" s="414">
        <v>5064</v>
      </c>
      <c r="O15" s="417" t="s">
        <v>431</v>
      </c>
      <c r="P15" s="441"/>
      <c r="Q15" s="413" t="s">
        <v>687</v>
      </c>
      <c r="S15" s="388" t="s">
        <v>416</v>
      </c>
      <c r="T15" s="424"/>
      <c r="U15" s="171">
        <v>60</v>
      </c>
      <c r="V15" s="179" t="s">
        <v>837</v>
      </c>
      <c r="W15" s="416" t="s">
        <v>813</v>
      </c>
    </row>
    <row r="16" spans="1:23">
      <c r="A16" s="437">
        <v>13</v>
      </c>
      <c r="B16" s="443"/>
      <c r="C16" s="443"/>
      <c r="D16" s="443"/>
      <c r="E16" s="413"/>
      <c r="F16" s="414"/>
      <c r="G16" s="468" t="s">
        <v>659</v>
      </c>
      <c r="H16" s="418"/>
      <c r="I16" s="468" t="s">
        <v>264</v>
      </c>
      <c r="J16" s="417" t="s">
        <v>789</v>
      </c>
      <c r="K16" s="468" t="s">
        <v>75</v>
      </c>
      <c r="L16" s="468" t="s">
        <v>254</v>
      </c>
      <c r="M16" s="468" t="s">
        <v>790</v>
      </c>
      <c r="N16" s="414">
        <v>3422</v>
      </c>
      <c r="O16" s="468" t="s">
        <v>255</v>
      </c>
      <c r="P16" s="441"/>
      <c r="Q16" s="413"/>
      <c r="R16" s="416" t="s">
        <v>319</v>
      </c>
      <c r="S16" s="388"/>
      <c r="T16" s="412"/>
      <c r="U16" s="171">
        <v>60</v>
      </c>
    </row>
    <row r="17" spans="1:21">
      <c r="A17" s="437">
        <v>14</v>
      </c>
      <c r="B17" s="443"/>
      <c r="C17" s="443"/>
      <c r="D17" s="443"/>
      <c r="E17" s="413"/>
      <c r="F17" s="413"/>
      <c r="G17" s="418" t="s">
        <v>659</v>
      </c>
      <c r="H17" s="421"/>
      <c r="I17" s="418" t="s">
        <v>264</v>
      </c>
      <c r="J17" s="423" t="s">
        <v>137</v>
      </c>
      <c r="K17" s="418" t="s">
        <v>214</v>
      </c>
      <c r="L17" s="418" t="s">
        <v>256</v>
      </c>
      <c r="M17" s="417" t="s">
        <v>410</v>
      </c>
      <c r="N17" s="414">
        <v>8409</v>
      </c>
      <c r="O17" s="417" t="s">
        <v>228</v>
      </c>
      <c r="P17" s="441"/>
      <c r="Q17" s="413" t="s">
        <v>257</v>
      </c>
      <c r="R17" s="416" t="s">
        <v>353</v>
      </c>
      <c r="S17" s="388" t="s">
        <v>416</v>
      </c>
      <c r="T17" s="412"/>
      <c r="U17" s="171">
        <v>60</v>
      </c>
    </row>
    <row r="18" spans="1:21">
      <c r="A18" s="437">
        <v>15</v>
      </c>
      <c r="B18" s="443"/>
      <c r="C18" s="443"/>
      <c r="D18" s="443"/>
      <c r="E18" s="413"/>
      <c r="F18" s="413"/>
      <c r="G18" s="418" t="s">
        <v>659</v>
      </c>
      <c r="H18" s="418"/>
      <c r="I18" s="418" t="s">
        <v>264</v>
      </c>
      <c r="J18" s="417" t="s">
        <v>803</v>
      </c>
      <c r="K18" s="418" t="s">
        <v>682</v>
      </c>
      <c r="L18" s="418" t="s">
        <v>681</v>
      </c>
      <c r="M18" s="418" t="s">
        <v>680</v>
      </c>
      <c r="N18" s="414">
        <v>6260</v>
      </c>
      <c r="O18" s="418" t="s">
        <v>225</v>
      </c>
      <c r="P18" s="441"/>
      <c r="Q18" s="413" t="s">
        <v>679</v>
      </c>
      <c r="R18" s="416" t="s">
        <v>678</v>
      </c>
      <c r="S18" s="388"/>
      <c r="T18" s="412"/>
      <c r="U18" s="171">
        <v>60</v>
      </c>
    </row>
    <row r="19" spans="1:21">
      <c r="A19" s="437">
        <v>16</v>
      </c>
      <c r="B19" s="443"/>
      <c r="C19" s="443"/>
      <c r="D19" s="443"/>
      <c r="E19" s="413"/>
      <c r="F19" s="413"/>
      <c r="G19" s="418" t="s">
        <v>659</v>
      </c>
      <c r="H19" s="421"/>
      <c r="I19" s="418" t="s">
        <v>261</v>
      </c>
      <c r="J19" s="417" t="s">
        <v>801</v>
      </c>
      <c r="K19" s="417" t="s">
        <v>22</v>
      </c>
      <c r="L19" s="417" t="s">
        <v>677</v>
      </c>
      <c r="M19" s="417" t="s">
        <v>676</v>
      </c>
      <c r="N19" s="414">
        <v>8162</v>
      </c>
      <c r="O19" s="417" t="s">
        <v>675</v>
      </c>
      <c r="P19" s="441"/>
      <c r="Q19" s="413" t="s">
        <v>674</v>
      </c>
      <c r="R19" s="416" t="s">
        <v>673</v>
      </c>
      <c r="S19" s="388"/>
      <c r="T19" s="412"/>
      <c r="U19" s="171">
        <v>60</v>
      </c>
    </row>
    <row r="20" spans="1:21">
      <c r="A20" s="437">
        <v>17</v>
      </c>
      <c r="B20" s="443"/>
      <c r="C20" s="443"/>
      <c r="D20" s="443"/>
      <c r="E20" s="413"/>
      <c r="F20" s="414"/>
      <c r="G20" s="417" t="s">
        <v>659</v>
      </c>
      <c r="H20" s="418"/>
      <c r="I20" s="418" t="s">
        <v>355</v>
      </c>
      <c r="J20" s="417" t="s">
        <v>802</v>
      </c>
      <c r="K20" s="433" t="s">
        <v>50</v>
      </c>
      <c r="L20" s="433" t="s">
        <v>430</v>
      </c>
      <c r="M20" s="433" t="s">
        <v>762</v>
      </c>
      <c r="N20" s="414">
        <v>4803</v>
      </c>
      <c r="O20" s="433" t="s">
        <v>466</v>
      </c>
      <c r="P20" s="441"/>
      <c r="Q20" s="413" t="s">
        <v>763</v>
      </c>
      <c r="R20" s="430" t="s">
        <v>764</v>
      </c>
      <c r="S20" s="388"/>
      <c r="T20" s="422"/>
      <c r="U20" s="171">
        <v>60</v>
      </c>
    </row>
    <row r="21" spans="1:21">
      <c r="A21" s="437">
        <v>18</v>
      </c>
      <c r="B21" s="388"/>
      <c r="C21" s="438"/>
      <c r="D21" s="438"/>
      <c r="E21" s="413"/>
      <c r="F21" s="414"/>
      <c r="G21" s="443" t="s">
        <v>659</v>
      </c>
      <c r="H21" s="443"/>
      <c r="I21" s="443" t="s">
        <v>265</v>
      </c>
      <c r="J21" s="691" t="s">
        <v>835</v>
      </c>
      <c r="K21" s="514" t="s">
        <v>135</v>
      </c>
      <c r="L21" s="514" t="s">
        <v>15</v>
      </c>
      <c r="M21" s="514" t="s">
        <v>799</v>
      </c>
      <c r="N21" s="414">
        <v>8355</v>
      </c>
      <c r="O21" s="514" t="s">
        <v>419</v>
      </c>
      <c r="P21" s="441" t="s">
        <v>260</v>
      </c>
      <c r="Q21" s="413" t="s">
        <v>420</v>
      </c>
      <c r="R21" s="416" t="s">
        <v>800</v>
      </c>
      <c r="S21" s="388" t="s">
        <v>416</v>
      </c>
      <c r="T21" s="690"/>
      <c r="U21" s="171">
        <v>60</v>
      </c>
    </row>
    <row r="22" spans="1:21">
      <c r="A22" s="437">
        <v>19</v>
      </c>
      <c r="B22" s="388"/>
      <c r="C22" s="438"/>
      <c r="D22" s="438"/>
      <c r="E22" s="413"/>
      <c r="F22" s="414">
        <v>1</v>
      </c>
      <c r="G22" s="418"/>
      <c r="H22" s="418"/>
      <c r="I22" s="418" t="s">
        <v>261</v>
      </c>
      <c r="J22" s="417" t="s">
        <v>749</v>
      </c>
      <c r="K22" s="418" t="s">
        <v>444</v>
      </c>
      <c r="L22" s="418" t="s">
        <v>445</v>
      </c>
      <c r="M22" s="418" t="s">
        <v>446</v>
      </c>
      <c r="N22" s="414">
        <v>6055</v>
      </c>
      <c r="O22" s="418" t="s">
        <v>409</v>
      </c>
      <c r="P22" s="441"/>
      <c r="Q22" s="413" t="s">
        <v>447</v>
      </c>
      <c r="R22" s="416" t="s">
        <v>448</v>
      </c>
      <c r="S22" s="388"/>
      <c r="T22" s="412"/>
      <c r="U22" s="171">
        <v>60</v>
      </c>
    </row>
    <row r="23" spans="1:21">
      <c r="A23" s="437">
        <v>20</v>
      </c>
      <c r="B23" s="388"/>
      <c r="C23" s="438"/>
      <c r="D23" s="438"/>
      <c r="E23" s="413"/>
      <c r="F23" s="414">
        <v>1</v>
      </c>
      <c r="G23" s="418"/>
      <c r="H23" s="421"/>
      <c r="I23" s="418" t="s">
        <v>262</v>
      </c>
      <c r="J23" s="423" t="s">
        <v>750</v>
      </c>
      <c r="K23" s="418" t="s">
        <v>16</v>
      </c>
      <c r="L23" s="418" t="s">
        <v>15</v>
      </c>
      <c r="M23" s="418" t="s">
        <v>146</v>
      </c>
      <c r="N23" s="414">
        <v>8222</v>
      </c>
      <c r="O23" s="418" t="s">
        <v>17</v>
      </c>
      <c r="P23" s="441" t="s">
        <v>437</v>
      </c>
      <c r="Q23" s="413" t="s">
        <v>685</v>
      </c>
      <c r="R23" s="416" t="s">
        <v>684</v>
      </c>
      <c r="S23" s="388" t="s">
        <v>416</v>
      </c>
      <c r="T23" s="412"/>
      <c r="U23" s="171">
        <v>60</v>
      </c>
    </row>
    <row r="24" spans="1:21">
      <c r="A24" s="437">
        <v>21</v>
      </c>
      <c r="B24" s="388"/>
      <c r="C24" s="438"/>
      <c r="D24" s="438"/>
      <c r="E24" s="413"/>
      <c r="F24" s="414">
        <v>1</v>
      </c>
      <c r="G24" s="417"/>
      <c r="H24" s="417"/>
      <c r="I24" s="417" t="s">
        <v>401</v>
      </c>
      <c r="J24" s="417" t="s">
        <v>751</v>
      </c>
      <c r="K24" s="417" t="s">
        <v>402</v>
      </c>
      <c r="L24" s="417" t="s">
        <v>140</v>
      </c>
      <c r="M24" s="417" t="s">
        <v>403</v>
      </c>
      <c r="N24" s="413">
        <v>8471</v>
      </c>
      <c r="O24" s="417" t="s">
        <v>404</v>
      </c>
      <c r="P24" s="441"/>
      <c r="Q24" s="413" t="s">
        <v>405</v>
      </c>
      <c r="R24" s="416" t="s">
        <v>406</v>
      </c>
      <c r="S24" s="388"/>
      <c r="T24" s="412"/>
      <c r="U24" s="171">
        <v>60</v>
      </c>
    </row>
    <row r="25" spans="1:21">
      <c r="A25" s="437">
        <v>22</v>
      </c>
      <c r="B25" s="388" t="s">
        <v>35</v>
      </c>
      <c r="C25" s="438" t="s">
        <v>33</v>
      </c>
      <c r="D25" s="438" t="s">
        <v>34</v>
      </c>
      <c r="E25" s="414"/>
      <c r="F25" s="414">
        <v>1</v>
      </c>
      <c r="G25" s="417"/>
      <c r="H25" s="417"/>
      <c r="I25" s="461" t="s">
        <v>263</v>
      </c>
      <c r="J25" s="417" t="s">
        <v>772</v>
      </c>
      <c r="K25" s="417" t="s">
        <v>14</v>
      </c>
      <c r="L25" s="417" t="s">
        <v>796</v>
      </c>
      <c r="M25" s="417" t="s">
        <v>773</v>
      </c>
      <c r="N25" s="414">
        <v>4552</v>
      </c>
      <c r="O25" s="508" t="s">
        <v>61</v>
      </c>
      <c r="P25" s="441"/>
      <c r="Q25" s="413" t="s">
        <v>795</v>
      </c>
      <c r="R25" s="416" t="s">
        <v>774</v>
      </c>
      <c r="S25" s="388"/>
      <c r="T25" s="422"/>
      <c r="U25" s="171">
        <v>60</v>
      </c>
    </row>
    <row r="26" spans="1:21">
      <c r="A26" s="437">
        <v>23</v>
      </c>
      <c r="B26" s="388"/>
      <c r="C26" s="438"/>
      <c r="D26" s="438"/>
      <c r="E26" s="414"/>
      <c r="F26" s="413">
        <v>1</v>
      </c>
      <c r="G26" s="443"/>
      <c r="H26" s="443"/>
      <c r="I26" s="443" t="s">
        <v>264</v>
      </c>
      <c r="J26" s="443" t="s">
        <v>752</v>
      </c>
      <c r="K26" s="443" t="s">
        <v>18</v>
      </c>
      <c r="L26" s="443" t="s">
        <v>54</v>
      </c>
      <c r="M26" s="443" t="s">
        <v>724</v>
      </c>
      <c r="N26" s="413">
        <v>9436</v>
      </c>
      <c r="O26" s="443" t="s">
        <v>147</v>
      </c>
      <c r="P26" s="441"/>
      <c r="Q26" s="413" t="s">
        <v>725</v>
      </c>
      <c r="R26" s="442" t="s">
        <v>726</v>
      </c>
      <c r="S26" s="388"/>
      <c r="T26" s="412"/>
      <c r="U26" s="171">
        <v>60</v>
      </c>
    </row>
    <row r="27" spans="1:21">
      <c r="A27" s="437">
        <v>24</v>
      </c>
      <c r="B27" s="388" t="s">
        <v>35</v>
      </c>
      <c r="C27" s="438" t="s">
        <v>33</v>
      </c>
      <c r="D27" s="438" t="s">
        <v>34</v>
      </c>
      <c r="E27" s="414"/>
      <c r="F27" s="413">
        <v>1</v>
      </c>
      <c r="G27" s="417"/>
      <c r="H27" s="417"/>
      <c r="I27" s="418" t="s">
        <v>266</v>
      </c>
      <c r="J27" s="423" t="s">
        <v>740</v>
      </c>
      <c r="K27" s="418" t="s">
        <v>31</v>
      </c>
      <c r="L27" s="418" t="s">
        <v>187</v>
      </c>
      <c r="M27" s="418" t="s">
        <v>188</v>
      </c>
      <c r="N27" s="414">
        <v>4914</v>
      </c>
      <c r="O27" s="418" t="s">
        <v>189</v>
      </c>
      <c r="P27" s="441"/>
      <c r="Q27" s="413" t="s">
        <v>315</v>
      </c>
      <c r="R27" s="416" t="s">
        <v>190</v>
      </c>
      <c r="S27" s="388" t="s">
        <v>416</v>
      </c>
      <c r="T27" s="412"/>
      <c r="U27" s="171">
        <v>60</v>
      </c>
    </row>
    <row r="28" spans="1:21">
      <c r="A28" s="437">
        <v>25</v>
      </c>
      <c r="B28" s="388"/>
      <c r="C28" s="438"/>
      <c r="D28" s="438"/>
      <c r="E28" s="413"/>
      <c r="F28" s="402">
        <v>1</v>
      </c>
      <c r="G28" s="418"/>
      <c r="H28" s="421"/>
      <c r="I28" s="693" t="s">
        <v>267</v>
      </c>
      <c r="J28" s="423" t="s">
        <v>753</v>
      </c>
      <c r="K28" s="418" t="s">
        <v>233</v>
      </c>
      <c r="L28" s="418" t="s">
        <v>234</v>
      </c>
      <c r="M28" s="418" t="s">
        <v>408</v>
      </c>
      <c r="N28" s="414">
        <v>8200</v>
      </c>
      <c r="O28" s="418" t="s">
        <v>25</v>
      </c>
      <c r="P28" s="441"/>
      <c r="Q28" s="413" t="s">
        <v>467</v>
      </c>
      <c r="R28" s="416" t="s">
        <v>235</v>
      </c>
      <c r="S28" s="388" t="s">
        <v>416</v>
      </c>
      <c r="T28" s="412"/>
      <c r="U28" s="171">
        <v>60</v>
      </c>
    </row>
    <row r="29" spans="1:21">
      <c r="A29" s="437">
        <v>26</v>
      </c>
      <c r="B29" s="388" t="s">
        <v>35</v>
      </c>
      <c r="C29" s="438" t="s">
        <v>33</v>
      </c>
      <c r="D29" s="438" t="s">
        <v>34</v>
      </c>
      <c r="E29" s="413"/>
      <c r="F29" s="414">
        <v>1</v>
      </c>
      <c r="G29" s="418"/>
      <c r="H29" s="421"/>
      <c r="I29" s="418" t="s">
        <v>261</v>
      </c>
      <c r="J29" s="417" t="s">
        <v>754</v>
      </c>
      <c r="K29" s="418" t="s">
        <v>686</v>
      </c>
      <c r="L29" s="418" t="s">
        <v>677</v>
      </c>
      <c r="M29" s="418" t="s">
        <v>676</v>
      </c>
      <c r="N29" s="414">
        <v>8162</v>
      </c>
      <c r="O29" s="418" t="s">
        <v>675</v>
      </c>
      <c r="P29" s="441"/>
      <c r="Q29" s="413" t="s">
        <v>674</v>
      </c>
      <c r="R29" s="416" t="s">
        <v>673</v>
      </c>
      <c r="S29" s="388"/>
      <c r="T29" s="412"/>
      <c r="U29" s="171">
        <v>60</v>
      </c>
    </row>
    <row r="30" spans="1:21">
      <c r="A30" s="437">
        <v>27</v>
      </c>
      <c r="B30" s="443"/>
      <c r="C30" s="443"/>
      <c r="D30" s="443"/>
      <c r="E30" s="414"/>
      <c r="F30" s="413">
        <v>1</v>
      </c>
      <c r="G30" s="417"/>
      <c r="H30" s="417"/>
      <c r="I30" s="418" t="s">
        <v>266</v>
      </c>
      <c r="J30" s="417" t="s">
        <v>755</v>
      </c>
      <c r="K30" s="417" t="s">
        <v>695</v>
      </c>
      <c r="L30" s="417" t="s">
        <v>694</v>
      </c>
      <c r="M30" s="417" t="s">
        <v>693</v>
      </c>
      <c r="N30" s="414">
        <v>9103</v>
      </c>
      <c r="O30" s="417" t="s">
        <v>692</v>
      </c>
      <c r="P30" s="441"/>
      <c r="Q30" s="413" t="s">
        <v>691</v>
      </c>
      <c r="R30" s="416" t="s">
        <v>690</v>
      </c>
      <c r="S30" s="388"/>
      <c r="T30" s="424"/>
      <c r="U30" s="171">
        <v>60</v>
      </c>
    </row>
    <row r="31" spans="1:21">
      <c r="A31" s="437">
        <v>28</v>
      </c>
      <c r="B31" s="388" t="s">
        <v>35</v>
      </c>
      <c r="C31" s="438" t="s">
        <v>33</v>
      </c>
      <c r="D31" s="438" t="s">
        <v>34</v>
      </c>
      <c r="E31" s="414"/>
      <c r="F31" s="414">
        <v>1</v>
      </c>
      <c r="G31" s="418"/>
      <c r="H31" s="421"/>
      <c r="I31" s="433" t="s">
        <v>261</v>
      </c>
      <c r="J31" s="417" t="s">
        <v>761</v>
      </c>
      <c r="K31" s="433" t="s">
        <v>50</v>
      </c>
      <c r="L31" s="433" t="s">
        <v>430</v>
      </c>
      <c r="M31" s="433" t="s">
        <v>762</v>
      </c>
      <c r="N31" s="414">
        <v>4803</v>
      </c>
      <c r="O31" s="433" t="s">
        <v>466</v>
      </c>
      <c r="P31" s="441"/>
      <c r="Q31" s="413" t="s">
        <v>763</v>
      </c>
      <c r="R31" s="416" t="s">
        <v>764</v>
      </c>
      <c r="S31" s="388"/>
      <c r="T31" s="412"/>
      <c r="U31" s="171">
        <v>60</v>
      </c>
    </row>
    <row r="32" spans="1:21">
      <c r="A32" s="437">
        <v>29</v>
      </c>
      <c r="B32" s="388"/>
      <c r="C32" s="438"/>
      <c r="D32" s="438"/>
      <c r="E32" s="414"/>
      <c r="F32" s="414">
        <v>1</v>
      </c>
      <c r="G32" s="418"/>
      <c r="H32" s="417"/>
      <c r="I32" s="687" t="s">
        <v>266</v>
      </c>
      <c r="J32" s="417" t="s">
        <v>805</v>
      </c>
      <c r="K32" s="418" t="s">
        <v>31</v>
      </c>
      <c r="L32" s="418" t="s">
        <v>231</v>
      </c>
      <c r="M32" s="418" t="s">
        <v>368</v>
      </c>
      <c r="N32" s="414">
        <v>8832</v>
      </c>
      <c r="O32" s="418" t="s">
        <v>232</v>
      </c>
      <c r="P32" s="441"/>
      <c r="Q32" s="413" t="s">
        <v>369</v>
      </c>
      <c r="R32" s="416" t="s">
        <v>370</v>
      </c>
      <c r="S32" s="388"/>
      <c r="T32" s="424"/>
      <c r="U32" s="171">
        <v>60</v>
      </c>
    </row>
    <row r="33" spans="1:21">
      <c r="A33" s="437">
        <v>30</v>
      </c>
      <c r="B33" s="388" t="s">
        <v>35</v>
      </c>
      <c r="C33" s="438" t="s">
        <v>33</v>
      </c>
      <c r="D33" s="438" t="s">
        <v>34</v>
      </c>
      <c r="E33" s="413"/>
      <c r="F33" s="414">
        <v>1</v>
      </c>
      <c r="G33" s="417"/>
      <c r="H33" s="417"/>
      <c r="I33" s="417" t="s">
        <v>261</v>
      </c>
      <c r="J33" s="423" t="s">
        <v>836</v>
      </c>
      <c r="K33" s="417" t="s">
        <v>672</v>
      </c>
      <c r="L33" s="417" t="s">
        <v>553</v>
      </c>
      <c r="M33" s="417" t="s">
        <v>839</v>
      </c>
      <c r="N33" s="414">
        <v>5040</v>
      </c>
      <c r="O33" s="417" t="s">
        <v>497</v>
      </c>
      <c r="P33" s="441"/>
      <c r="Q33" s="413" t="s">
        <v>671</v>
      </c>
      <c r="R33" s="416" t="s">
        <v>670</v>
      </c>
      <c r="S33" s="388" t="s">
        <v>416</v>
      </c>
      <c r="T33" s="412"/>
      <c r="U33" s="171">
        <v>60</v>
      </c>
    </row>
    <row r="34" spans="1:21">
      <c r="A34" s="437">
        <v>31</v>
      </c>
      <c r="B34" s="388"/>
      <c r="C34" s="438"/>
      <c r="D34" s="438"/>
      <c r="E34" s="413"/>
      <c r="F34" s="414"/>
      <c r="G34" s="417"/>
      <c r="H34" s="417" t="s">
        <v>658</v>
      </c>
      <c r="I34" s="688" t="s">
        <v>727</v>
      </c>
      <c r="J34" s="443" t="s">
        <v>728</v>
      </c>
      <c r="K34" s="439" t="s">
        <v>729</v>
      </c>
      <c r="L34" s="439" t="s">
        <v>730</v>
      </c>
      <c r="M34" s="440"/>
      <c r="N34" s="414">
        <v>9444</v>
      </c>
      <c r="O34" s="439" t="s">
        <v>731</v>
      </c>
      <c r="P34" s="441"/>
      <c r="Q34" s="413" t="s">
        <v>732</v>
      </c>
      <c r="R34" s="442" t="s">
        <v>733</v>
      </c>
      <c r="S34" s="388"/>
      <c r="T34" s="412"/>
      <c r="U34" s="171">
        <v>60</v>
      </c>
    </row>
    <row r="35" spans="1:21">
      <c r="A35" s="437">
        <v>32</v>
      </c>
      <c r="B35" s="388" t="s">
        <v>35</v>
      </c>
      <c r="C35" s="438" t="s">
        <v>33</v>
      </c>
      <c r="D35" s="438" t="s">
        <v>34</v>
      </c>
      <c r="E35" s="413"/>
      <c r="F35" s="414"/>
      <c r="G35" s="418"/>
      <c r="H35" s="417" t="s">
        <v>658</v>
      </c>
      <c r="I35" s="418" t="s">
        <v>265</v>
      </c>
      <c r="J35" s="423" t="s">
        <v>141</v>
      </c>
      <c r="K35" s="514" t="s">
        <v>135</v>
      </c>
      <c r="L35" s="514" t="s">
        <v>15</v>
      </c>
      <c r="M35" s="514" t="s">
        <v>799</v>
      </c>
      <c r="N35" s="414">
        <v>8355</v>
      </c>
      <c r="O35" s="514" t="s">
        <v>419</v>
      </c>
      <c r="P35" s="441" t="s">
        <v>260</v>
      </c>
      <c r="Q35" s="413" t="s">
        <v>420</v>
      </c>
      <c r="R35" s="416" t="s">
        <v>800</v>
      </c>
      <c r="S35" s="388" t="s">
        <v>416</v>
      </c>
      <c r="T35" s="412"/>
      <c r="U35" s="171">
        <v>60</v>
      </c>
    </row>
    <row r="36" spans="1:21">
      <c r="A36" s="437">
        <v>33</v>
      </c>
      <c r="B36" s="388" t="s">
        <v>35</v>
      </c>
      <c r="C36" s="438" t="s">
        <v>33</v>
      </c>
      <c r="D36" s="438" t="s">
        <v>34</v>
      </c>
      <c r="E36" s="413"/>
      <c r="F36" s="414"/>
      <c r="G36" s="417"/>
      <c r="H36" s="417" t="s">
        <v>658</v>
      </c>
      <c r="I36" s="418" t="s">
        <v>263</v>
      </c>
      <c r="J36" s="423" t="s">
        <v>142</v>
      </c>
      <c r="K36" s="418" t="s">
        <v>139</v>
      </c>
      <c r="L36" s="418" t="s">
        <v>80</v>
      </c>
      <c r="M36" s="418" t="s">
        <v>371</v>
      </c>
      <c r="N36" s="414">
        <v>8645</v>
      </c>
      <c r="O36" s="418" t="s">
        <v>20</v>
      </c>
      <c r="P36" s="441"/>
      <c r="Q36" s="413" t="s">
        <v>327</v>
      </c>
      <c r="R36" s="416" t="s">
        <v>354</v>
      </c>
      <c r="S36" s="388" t="s">
        <v>416</v>
      </c>
      <c r="T36" s="412"/>
      <c r="U36" s="171">
        <v>60</v>
      </c>
    </row>
    <row r="37" spans="1:21">
      <c r="A37" s="437">
        <v>34</v>
      </c>
      <c r="B37" s="388" t="s">
        <v>35</v>
      </c>
      <c r="C37" s="438" t="s">
        <v>33</v>
      </c>
      <c r="D37" s="438" t="s">
        <v>34</v>
      </c>
      <c r="E37" s="413"/>
      <c r="F37" s="413"/>
      <c r="G37" s="417"/>
      <c r="H37" s="421" t="s">
        <v>658</v>
      </c>
      <c r="I37" s="418" t="s">
        <v>266</v>
      </c>
      <c r="J37" s="423" t="s">
        <v>411</v>
      </c>
      <c r="K37" s="694" t="s">
        <v>31</v>
      </c>
      <c r="L37" s="694" t="s">
        <v>842</v>
      </c>
      <c r="M37" s="694" t="s">
        <v>843</v>
      </c>
      <c r="N37" s="414">
        <v>4623</v>
      </c>
      <c r="O37" s="418" t="s">
        <v>363</v>
      </c>
      <c r="P37" s="441"/>
      <c r="Q37" s="413" t="s">
        <v>844</v>
      </c>
      <c r="R37" s="416" t="s">
        <v>788</v>
      </c>
      <c r="S37" s="388" t="s">
        <v>416</v>
      </c>
      <c r="T37" s="412"/>
      <c r="U37" s="171">
        <v>60</v>
      </c>
    </row>
    <row r="38" spans="1:21">
      <c r="A38" s="437">
        <v>35</v>
      </c>
      <c r="B38" s="388" t="s">
        <v>35</v>
      </c>
      <c r="C38" s="438" t="s">
        <v>33</v>
      </c>
      <c r="D38" s="438" t="s">
        <v>34</v>
      </c>
      <c r="E38" s="413"/>
      <c r="F38" s="414"/>
      <c r="G38" s="418"/>
      <c r="H38" s="417" t="s">
        <v>658</v>
      </c>
      <c r="I38" s="418" t="s">
        <v>261</v>
      </c>
      <c r="J38" s="417" t="s">
        <v>143</v>
      </c>
      <c r="K38" s="433" t="s">
        <v>756</v>
      </c>
      <c r="L38" s="433" t="s">
        <v>293</v>
      </c>
      <c r="M38" s="433" t="s">
        <v>757</v>
      </c>
      <c r="N38" s="414">
        <v>6020</v>
      </c>
      <c r="O38" s="433" t="s">
        <v>758</v>
      </c>
      <c r="P38" s="441"/>
      <c r="Q38" s="413" t="s">
        <v>759</v>
      </c>
      <c r="R38" s="416" t="s">
        <v>760</v>
      </c>
      <c r="S38" s="388"/>
      <c r="T38" s="412"/>
      <c r="U38" s="171">
        <v>60</v>
      </c>
    </row>
    <row r="39" spans="1:21">
      <c r="A39" s="437">
        <v>36</v>
      </c>
      <c r="B39" s="388" t="s">
        <v>35</v>
      </c>
      <c r="C39" s="438" t="s">
        <v>33</v>
      </c>
      <c r="D39" s="438" t="s">
        <v>34</v>
      </c>
      <c r="E39" s="413"/>
      <c r="F39" s="414"/>
      <c r="G39" s="418"/>
      <c r="H39" s="418" t="s">
        <v>658</v>
      </c>
      <c r="I39" s="418" t="s">
        <v>265</v>
      </c>
      <c r="J39" s="423" t="s">
        <v>449</v>
      </c>
      <c r="K39" s="431" t="s">
        <v>383</v>
      </c>
      <c r="L39" s="431" t="s">
        <v>735</v>
      </c>
      <c r="M39" s="417" t="s">
        <v>736</v>
      </c>
      <c r="N39" s="414">
        <v>9512</v>
      </c>
      <c r="O39" s="417" t="s">
        <v>737</v>
      </c>
      <c r="P39" s="441"/>
      <c r="Q39" s="413" t="s">
        <v>738</v>
      </c>
      <c r="R39" s="416" t="s">
        <v>739</v>
      </c>
      <c r="S39" s="415" t="s">
        <v>416</v>
      </c>
      <c r="T39" s="412"/>
      <c r="U39" s="171">
        <v>60</v>
      </c>
    </row>
    <row r="40" spans="1:21">
      <c r="A40" s="437">
        <v>37</v>
      </c>
      <c r="B40" s="388"/>
      <c r="C40" s="438"/>
      <c r="D40" s="438"/>
      <c r="E40" s="413"/>
      <c r="F40" s="413"/>
      <c r="G40" s="419"/>
      <c r="H40" s="417" t="s">
        <v>658</v>
      </c>
      <c r="I40" s="418" t="s">
        <v>261</v>
      </c>
      <c r="J40" s="417" t="s">
        <v>356</v>
      </c>
      <c r="K40" s="418" t="s">
        <v>451</v>
      </c>
      <c r="L40" s="418" t="s">
        <v>452</v>
      </c>
      <c r="M40" s="418" t="s">
        <v>453</v>
      </c>
      <c r="N40" s="414">
        <v>9434</v>
      </c>
      <c r="O40" s="418" t="s">
        <v>454</v>
      </c>
      <c r="P40" s="441" t="s">
        <v>260</v>
      </c>
      <c r="Q40" s="413" t="s">
        <v>455</v>
      </c>
      <c r="R40" s="416" t="s">
        <v>456</v>
      </c>
      <c r="T40" s="412"/>
      <c r="U40" s="171">
        <v>60</v>
      </c>
    </row>
    <row r="41" spans="1:21">
      <c r="A41" s="437">
        <v>38</v>
      </c>
      <c r="B41" s="388"/>
      <c r="C41" s="438"/>
      <c r="D41" s="438"/>
      <c r="E41" s="413"/>
      <c r="F41" s="420"/>
      <c r="G41" s="418"/>
      <c r="H41" s="418" t="s">
        <v>658</v>
      </c>
      <c r="I41" s="418" t="s">
        <v>266</v>
      </c>
      <c r="J41" s="423" t="s">
        <v>144</v>
      </c>
      <c r="K41" s="417" t="s">
        <v>461</v>
      </c>
      <c r="L41" s="417" t="s">
        <v>460</v>
      </c>
      <c r="M41" s="417" t="s">
        <v>840</v>
      </c>
      <c r="N41" s="414">
        <v>9436</v>
      </c>
      <c r="O41" s="417" t="s">
        <v>147</v>
      </c>
      <c r="P41" s="441"/>
      <c r="Q41" s="413" t="s">
        <v>669</v>
      </c>
      <c r="R41" s="416" t="s">
        <v>841</v>
      </c>
      <c r="S41" s="415" t="s">
        <v>416</v>
      </c>
      <c r="T41" s="412"/>
      <c r="U41" s="171">
        <v>60</v>
      </c>
    </row>
    <row r="42" spans="1:21">
      <c r="A42" s="437">
        <v>39</v>
      </c>
      <c r="B42" s="388"/>
      <c r="C42" s="438"/>
      <c r="D42" s="438"/>
      <c r="E42" s="413"/>
      <c r="F42" s="420"/>
      <c r="G42" s="402"/>
      <c r="H42" s="171" t="s">
        <v>658</v>
      </c>
      <c r="I42" s="401" t="s">
        <v>261</v>
      </c>
      <c r="J42" s="692" t="s">
        <v>145</v>
      </c>
      <c r="K42" s="418" t="s">
        <v>367</v>
      </c>
      <c r="L42" s="418" t="s">
        <v>375</v>
      </c>
      <c r="M42" s="418" t="s">
        <v>412</v>
      </c>
      <c r="N42" s="414">
        <v>8556</v>
      </c>
      <c r="O42" s="418" t="s">
        <v>413</v>
      </c>
      <c r="P42" s="441" t="s">
        <v>414</v>
      </c>
      <c r="Q42" s="413" t="s">
        <v>376</v>
      </c>
      <c r="R42" s="416" t="s">
        <v>450</v>
      </c>
      <c r="S42" s="172" t="s">
        <v>416</v>
      </c>
      <c r="T42" s="410"/>
      <c r="U42" s="304"/>
    </row>
    <row r="43" spans="1:21">
      <c r="A43" s="437">
        <v>40</v>
      </c>
      <c r="B43" s="388"/>
      <c r="C43" s="438"/>
      <c r="D43" s="438"/>
      <c r="E43" s="413"/>
      <c r="F43" s="414"/>
      <c r="U43" s="179">
        <f>SUM(U4:U42)</f>
        <v>2280</v>
      </c>
    </row>
    <row r="44" spans="1:21">
      <c r="A44" s="437">
        <v>41</v>
      </c>
      <c r="B44" s="388"/>
      <c r="C44" s="438"/>
      <c r="D44" s="438"/>
      <c r="E44" s="413"/>
      <c r="F44" s="414"/>
      <c r="G44" s="414"/>
      <c r="H44" s="413"/>
      <c r="I44" s="418"/>
      <c r="J44" s="443" t="s">
        <v>668</v>
      </c>
      <c r="K44" s="440"/>
      <c r="L44" s="440"/>
      <c r="M44" s="440"/>
      <c r="N44" s="414"/>
      <c r="O44" s="440"/>
      <c r="P44" s="441"/>
      <c r="Q44" s="413"/>
      <c r="R44" s="444"/>
      <c r="S44" s="415"/>
      <c r="T44" s="412"/>
    </row>
    <row r="45" spans="1:21">
      <c r="A45" s="437">
        <v>42</v>
      </c>
      <c r="B45" s="388"/>
      <c r="C45" s="438"/>
      <c r="D45" s="438"/>
      <c r="E45" s="413"/>
      <c r="F45" s="414"/>
      <c r="G45" s="414"/>
      <c r="H45" s="413"/>
      <c r="I45" s="418"/>
      <c r="J45" s="443" t="s">
        <v>667</v>
      </c>
      <c r="K45" s="440"/>
      <c r="L45" s="440"/>
      <c r="M45" s="440"/>
      <c r="N45" s="414"/>
      <c r="O45" s="440"/>
      <c r="P45" s="441"/>
      <c r="Q45" s="413"/>
      <c r="R45" s="444"/>
      <c r="S45" s="415"/>
      <c r="T45" s="412"/>
    </row>
    <row r="46" spans="1:21">
      <c r="A46" s="437">
        <v>43</v>
      </c>
      <c r="B46" s="388"/>
      <c r="C46" s="438"/>
      <c r="D46" s="438"/>
      <c r="E46" s="413"/>
      <c r="F46" s="414"/>
      <c r="G46" s="414"/>
      <c r="H46" s="413"/>
      <c r="I46" s="418"/>
      <c r="J46" s="443" t="s">
        <v>666</v>
      </c>
      <c r="K46" s="440"/>
      <c r="L46" s="440"/>
      <c r="M46" s="440"/>
      <c r="N46" s="414"/>
      <c r="O46" s="440"/>
      <c r="P46" s="441"/>
      <c r="Q46" s="413"/>
      <c r="R46" s="444"/>
      <c r="S46" s="415"/>
      <c r="T46" s="412"/>
    </row>
    <row r="47" spans="1:21">
      <c r="A47" s="176"/>
      <c r="B47" s="172"/>
      <c r="C47" s="445"/>
      <c r="D47" s="445"/>
      <c r="F47" s="402"/>
      <c r="G47" s="402"/>
      <c r="H47" s="176"/>
      <c r="I47" s="179" t="s">
        <v>665</v>
      </c>
      <c r="J47" s="179">
        <f>COUNTIF(E2:E49,"Sen")</f>
        <v>2</v>
      </c>
      <c r="L47" s="446"/>
      <c r="M47" s="446"/>
      <c r="N47" s="402"/>
      <c r="O47" s="446"/>
      <c r="R47" s="179" t="s">
        <v>664</v>
      </c>
      <c r="S47" s="172">
        <f>COUNTIF(S3:S46,"x")</f>
        <v>14</v>
      </c>
    </row>
    <row r="48" spans="1:21">
      <c r="A48" s="176"/>
      <c r="B48" s="172"/>
      <c r="C48" s="445"/>
      <c r="D48" s="445"/>
      <c r="F48" s="402"/>
      <c r="G48" s="402"/>
      <c r="H48" s="176"/>
      <c r="I48" s="179" t="s">
        <v>663</v>
      </c>
      <c r="J48" s="179">
        <f>COUNTIF(E3:E50,3)</f>
        <v>0</v>
      </c>
      <c r="L48" s="446"/>
      <c r="M48" s="446"/>
      <c r="N48" s="402"/>
      <c r="O48" s="446"/>
      <c r="R48" s="179" t="s">
        <v>662</v>
      </c>
      <c r="T48" s="172">
        <f>COUNTIF(T3:T46,"j")</f>
        <v>0</v>
      </c>
    </row>
    <row r="49" spans="1:24">
      <c r="A49" s="176"/>
      <c r="I49" s="179" t="s">
        <v>661</v>
      </c>
      <c r="J49" s="179">
        <f>COUNTIF(E3:E38,2)</f>
        <v>8</v>
      </c>
    </row>
    <row r="50" spans="1:24">
      <c r="A50" s="176"/>
      <c r="I50" s="179" t="s">
        <v>660</v>
      </c>
      <c r="J50" s="179">
        <f>COUNTIF(F3:F46,1)</f>
        <v>12</v>
      </c>
    </row>
    <row r="51" spans="1:24">
      <c r="A51" s="176"/>
      <c r="I51" s="179" t="s">
        <v>659</v>
      </c>
      <c r="J51" s="179">
        <f>COUNTIF(G3:G49,"NLB")</f>
        <v>8</v>
      </c>
    </row>
    <row r="52" spans="1:24">
      <c r="A52" s="176"/>
      <c r="I52" s="179" t="s">
        <v>658</v>
      </c>
      <c r="J52" s="179">
        <f>COUNTIF(H3:H48,"NLA")</f>
        <v>10</v>
      </c>
    </row>
    <row r="53" spans="1:24">
      <c r="A53" s="176"/>
      <c r="I53" s="448"/>
      <c r="J53" s="448">
        <f>SUM(J47:J52)</f>
        <v>40</v>
      </c>
      <c r="K53" s="448"/>
    </row>
    <row r="54" spans="1:24" ht="15" customHeight="1">
      <c r="A54" s="176"/>
      <c r="G54" s="176"/>
      <c r="H54" s="176"/>
      <c r="I54" s="176"/>
      <c r="J54" s="176"/>
      <c r="K54" s="176"/>
      <c r="L54" s="176"/>
      <c r="M54" s="176"/>
      <c r="O54" s="176"/>
      <c r="R54" s="176"/>
      <c r="S54" s="176"/>
      <c r="T54" s="176"/>
    </row>
    <row r="55" spans="1:24" ht="15" customHeight="1">
      <c r="A55" s="176"/>
      <c r="G55" s="176"/>
      <c r="H55" s="176"/>
      <c r="I55" s="176"/>
      <c r="J55" s="176"/>
      <c r="K55" s="176"/>
      <c r="L55" s="176"/>
      <c r="M55" s="176"/>
      <c r="O55" s="176"/>
      <c r="R55" s="176"/>
      <c r="S55" s="176"/>
      <c r="T55" s="176"/>
    </row>
    <row r="56" spans="1:24">
      <c r="A56" s="176"/>
      <c r="G56" s="176"/>
      <c r="H56" s="176"/>
      <c r="I56" s="176"/>
      <c r="J56" s="176"/>
      <c r="K56" s="176"/>
      <c r="L56" s="176"/>
      <c r="M56" s="176"/>
      <c r="O56" s="176"/>
      <c r="R56" s="176"/>
      <c r="S56" s="176"/>
      <c r="T56" s="176"/>
      <c r="U56" s="449"/>
      <c r="V56" s="449"/>
      <c r="W56" s="449"/>
    </row>
    <row r="57" spans="1:24" ht="15" customHeight="1">
      <c r="A57" s="176"/>
      <c r="G57" s="176"/>
      <c r="H57" s="176"/>
      <c r="I57" s="176"/>
      <c r="J57" s="176"/>
      <c r="K57" s="176"/>
      <c r="L57" s="176"/>
      <c r="M57" s="176"/>
      <c r="O57" s="176"/>
      <c r="R57" s="176"/>
      <c r="S57" s="176"/>
      <c r="T57" s="176"/>
    </row>
    <row r="58" spans="1:24" ht="15" customHeight="1">
      <c r="A58" s="176"/>
      <c r="G58" s="176"/>
      <c r="H58" s="176"/>
      <c r="I58" s="176"/>
      <c r="J58" s="176"/>
      <c r="K58" s="176"/>
      <c r="L58" s="176"/>
      <c r="M58" s="176"/>
      <c r="O58" s="176"/>
      <c r="R58" s="176"/>
      <c r="S58" s="176"/>
      <c r="T58" s="176"/>
    </row>
    <row r="59" spans="1:24" ht="15" customHeight="1">
      <c r="A59" s="176"/>
      <c r="G59" s="176"/>
      <c r="H59" s="176"/>
      <c r="I59" s="176"/>
      <c r="J59" s="176"/>
      <c r="K59" s="176"/>
      <c r="L59" s="176"/>
      <c r="M59" s="176"/>
      <c r="O59" s="176"/>
      <c r="R59" s="176"/>
      <c r="S59" s="176"/>
      <c r="T59" s="176"/>
    </row>
    <row r="60" spans="1:24" ht="15" customHeight="1">
      <c r="A60" s="176"/>
      <c r="F60" s="492"/>
      <c r="G60" s="493"/>
      <c r="H60" s="494"/>
      <c r="I60" s="495"/>
      <c r="J60" s="496"/>
      <c r="K60" s="495"/>
      <c r="L60" s="495"/>
      <c r="M60" s="495"/>
      <c r="N60" s="497"/>
      <c r="O60" s="495"/>
      <c r="P60" s="498"/>
      <c r="Q60" s="499"/>
      <c r="R60" s="500"/>
      <c r="S60" s="499"/>
      <c r="T60" s="501"/>
      <c r="U60" s="448"/>
      <c r="V60" s="450"/>
      <c r="W60" s="448"/>
      <c r="X60" s="448"/>
    </row>
    <row r="61" spans="1:24">
      <c r="A61" s="176"/>
      <c r="E61" s="404"/>
      <c r="G61" s="176"/>
      <c r="H61" s="176"/>
      <c r="I61" s="176"/>
      <c r="J61" s="176"/>
      <c r="K61" s="176"/>
      <c r="L61" s="176"/>
      <c r="M61" s="176"/>
      <c r="O61" s="176"/>
      <c r="R61" s="176"/>
      <c r="S61" s="176"/>
      <c r="T61" s="176"/>
      <c r="U61" s="448"/>
      <c r="V61" s="450"/>
      <c r="W61" s="448"/>
      <c r="X61" s="448"/>
    </row>
    <row r="62" spans="1:24">
      <c r="A62" s="176"/>
      <c r="E62" s="404"/>
      <c r="G62" s="176"/>
      <c r="H62" s="176"/>
      <c r="I62" s="176"/>
      <c r="J62" s="176"/>
      <c r="K62" s="176"/>
      <c r="L62" s="176"/>
      <c r="M62" s="176"/>
      <c r="O62" s="176"/>
      <c r="R62" s="176"/>
      <c r="S62" s="176"/>
      <c r="T62" s="176"/>
      <c r="U62" s="448"/>
      <c r="V62" s="450"/>
      <c r="W62" s="448"/>
      <c r="X62" s="448"/>
    </row>
    <row r="63" spans="1:24" ht="15" customHeight="1">
      <c r="A63" s="176"/>
      <c r="E63" s="404"/>
      <c r="G63" s="176"/>
      <c r="H63" s="176"/>
      <c r="I63" s="176"/>
      <c r="J63" s="176"/>
      <c r="K63" s="176"/>
      <c r="L63" s="176"/>
      <c r="M63" s="176"/>
      <c r="O63" s="176"/>
      <c r="R63" s="176"/>
      <c r="S63" s="176"/>
      <c r="T63" s="176"/>
      <c r="U63" s="448"/>
      <c r="V63" s="450"/>
      <c r="W63" s="448"/>
      <c r="X63" s="448"/>
    </row>
    <row r="64" spans="1:24">
      <c r="A64" s="176"/>
      <c r="E64" s="404"/>
      <c r="G64" s="176"/>
      <c r="H64" s="176"/>
      <c r="I64" s="176"/>
      <c r="J64" s="176"/>
      <c r="K64" s="176"/>
      <c r="L64" s="176"/>
      <c r="M64" s="176"/>
      <c r="O64" s="176"/>
      <c r="R64" s="176"/>
      <c r="S64" s="176"/>
      <c r="T64" s="176"/>
      <c r="U64" s="448"/>
      <c r="V64" s="450"/>
      <c r="W64" s="448"/>
      <c r="X64" s="448"/>
    </row>
    <row r="65" spans="1:24" ht="15" customHeight="1">
      <c r="A65" s="176"/>
      <c r="E65" s="404"/>
      <c r="G65" s="176"/>
      <c r="H65" s="176"/>
      <c r="I65" s="176"/>
      <c r="J65" s="176"/>
      <c r="K65" s="176"/>
      <c r="L65" s="176"/>
      <c r="M65" s="176"/>
      <c r="O65" s="176"/>
      <c r="R65" s="176"/>
      <c r="S65" s="176"/>
      <c r="T65" s="176"/>
      <c r="U65" s="448"/>
      <c r="V65" s="450"/>
      <c r="W65" s="448"/>
      <c r="X65" s="448"/>
    </row>
    <row r="66" spans="1:24" ht="15" customHeight="1">
      <c r="A66" s="176"/>
      <c r="E66" s="404"/>
      <c r="G66" s="176"/>
      <c r="H66" s="176"/>
      <c r="I66" s="176"/>
      <c r="J66" s="176"/>
      <c r="K66" s="176"/>
      <c r="L66" s="176"/>
      <c r="M66" s="176"/>
      <c r="O66" s="176"/>
      <c r="R66" s="176"/>
      <c r="S66" s="176"/>
      <c r="T66" s="176"/>
      <c r="U66" s="448"/>
      <c r="V66" s="450"/>
      <c r="W66" s="448"/>
      <c r="X66" s="448"/>
    </row>
    <row r="67" spans="1:24" ht="15" customHeight="1">
      <c r="A67" s="176"/>
      <c r="E67" s="404"/>
      <c r="G67" s="176"/>
      <c r="H67" s="176"/>
      <c r="I67" s="176"/>
      <c r="J67" s="176"/>
      <c r="K67" s="176"/>
      <c r="L67" s="176"/>
      <c r="M67" s="176"/>
      <c r="O67" s="176"/>
      <c r="R67" s="176"/>
      <c r="S67" s="176"/>
      <c r="T67" s="176"/>
      <c r="U67" s="448"/>
      <c r="V67" s="450"/>
      <c r="W67" s="448"/>
      <c r="X67" s="448"/>
    </row>
    <row r="68" spans="1:24">
      <c r="A68" s="176"/>
      <c r="E68" s="404"/>
      <c r="G68" s="176"/>
      <c r="H68" s="176"/>
      <c r="I68" s="176"/>
      <c r="J68" s="176"/>
      <c r="K68" s="176"/>
      <c r="L68" s="176"/>
      <c r="M68" s="176"/>
      <c r="O68" s="176"/>
      <c r="R68" s="176"/>
      <c r="S68" s="176"/>
      <c r="T68" s="176"/>
      <c r="U68" s="448"/>
      <c r="V68" s="450"/>
      <c r="W68" s="448"/>
      <c r="X68" s="448"/>
    </row>
    <row r="69" spans="1:24">
      <c r="A69" s="176"/>
      <c r="E69" s="404"/>
      <c r="G69" s="176"/>
      <c r="H69" s="176"/>
      <c r="I69" s="176"/>
      <c r="J69" s="176"/>
      <c r="K69" s="176"/>
      <c r="L69" s="176"/>
      <c r="M69" s="176"/>
      <c r="O69" s="176"/>
      <c r="R69" s="176"/>
      <c r="S69" s="176"/>
      <c r="T69" s="176"/>
      <c r="U69" s="448"/>
      <c r="V69" s="450"/>
      <c r="W69" s="448"/>
      <c r="X69" s="448"/>
    </row>
    <row r="70" spans="1:24" ht="14.5">
      <c r="A70" s="176"/>
      <c r="B70" s="415" t="s">
        <v>35</v>
      </c>
      <c r="C70" s="438" t="s">
        <v>33</v>
      </c>
      <c r="D70" s="451" t="s">
        <v>34</v>
      </c>
      <c r="E70" s="411"/>
      <c r="F70" s="411"/>
      <c r="G70" s="402"/>
      <c r="H70" s="176"/>
      <c r="I70" s="171"/>
      <c r="J70" s="452"/>
      <c r="K70" s="452"/>
      <c r="L70" s="452"/>
      <c r="R70" s="453"/>
      <c r="S70" s="410"/>
      <c r="T70" s="410"/>
      <c r="U70" s="448"/>
      <c r="V70" s="450"/>
      <c r="W70" s="448"/>
      <c r="X70" s="448"/>
    </row>
    <row r="71" spans="1:24">
      <c r="A71" s="176"/>
      <c r="E71" s="404"/>
      <c r="F71" s="404"/>
      <c r="G71" s="448"/>
      <c r="H71" s="404"/>
      <c r="I71" s="454"/>
      <c r="J71" s="455"/>
      <c r="K71" s="455"/>
      <c r="L71" s="455"/>
      <c r="M71" s="455"/>
      <c r="N71" s="409"/>
      <c r="O71" s="455"/>
      <c r="P71" s="456"/>
      <c r="Q71" s="408"/>
      <c r="R71" s="457"/>
      <c r="S71" s="404"/>
      <c r="T71" s="406"/>
      <c r="U71" s="405"/>
      <c r="V71" s="405"/>
      <c r="W71" s="458"/>
      <c r="X71" s="448"/>
    </row>
    <row r="72" spans="1:24">
      <c r="A72" s="176"/>
      <c r="E72" s="404"/>
      <c r="F72" s="404"/>
      <c r="G72" s="448"/>
      <c r="H72" s="404"/>
      <c r="I72" s="454"/>
      <c r="J72" s="455"/>
      <c r="K72" s="455"/>
      <c r="L72" s="455"/>
      <c r="M72" s="459"/>
      <c r="N72" s="409"/>
      <c r="O72" s="459"/>
      <c r="P72" s="456"/>
      <c r="Q72" s="408"/>
      <c r="R72" s="457"/>
      <c r="S72" s="404"/>
      <c r="T72" s="406"/>
      <c r="U72" s="405"/>
      <c r="V72" s="405"/>
      <c r="W72" s="458"/>
      <c r="X72" s="448"/>
    </row>
    <row r="73" spans="1:24">
      <c r="A73" s="176"/>
      <c r="E73" s="404"/>
      <c r="F73" s="404"/>
      <c r="G73" s="448"/>
      <c r="H73" s="404"/>
      <c r="I73" s="401"/>
      <c r="N73" s="402"/>
      <c r="R73" s="453"/>
      <c r="S73" s="404"/>
      <c r="T73" s="407"/>
      <c r="U73" s="405"/>
      <c r="V73" s="405"/>
      <c r="W73" s="458"/>
      <c r="X73" s="448"/>
    </row>
    <row r="74" spans="1:24">
      <c r="A74" s="176"/>
      <c r="E74" s="404"/>
      <c r="F74" s="404"/>
      <c r="G74" s="448"/>
      <c r="H74" s="404"/>
      <c r="I74" s="171"/>
      <c r="R74" s="453"/>
      <c r="S74" s="404"/>
      <c r="T74" s="406"/>
      <c r="U74" s="405"/>
      <c r="V74" s="405"/>
      <c r="W74" s="458"/>
      <c r="X74" s="448"/>
    </row>
    <row r="75" spans="1:24">
      <c r="E75" s="404"/>
      <c r="F75" s="404"/>
      <c r="G75" s="448"/>
      <c r="H75" s="404"/>
      <c r="I75" s="171"/>
      <c r="R75" s="453"/>
      <c r="S75" s="404"/>
      <c r="T75" s="406"/>
      <c r="U75" s="405"/>
      <c r="V75" s="405"/>
      <c r="W75" s="458"/>
      <c r="X75" s="448"/>
    </row>
    <row r="76" spans="1:24">
      <c r="E76" s="404"/>
      <c r="F76" s="404"/>
      <c r="G76" s="448"/>
      <c r="H76" s="404"/>
      <c r="I76" s="401"/>
      <c r="L76" s="446"/>
      <c r="M76" s="446"/>
      <c r="N76" s="402"/>
      <c r="O76" s="446"/>
      <c r="R76" s="453"/>
      <c r="S76" s="404"/>
      <c r="T76" s="407"/>
      <c r="U76" s="405"/>
      <c r="V76" s="405"/>
      <c r="W76" s="458"/>
      <c r="X76" s="448"/>
    </row>
    <row r="77" spans="1:24">
      <c r="E77" s="404"/>
      <c r="F77" s="404"/>
      <c r="G77" s="448"/>
      <c r="H77" s="404"/>
      <c r="I77" s="171"/>
      <c r="R77" s="453"/>
      <c r="S77" s="404"/>
      <c r="T77" s="407"/>
      <c r="U77" s="405"/>
      <c r="V77" s="405"/>
      <c r="W77" s="458"/>
      <c r="X77" s="448"/>
    </row>
    <row r="78" spans="1:24">
      <c r="E78" s="404"/>
      <c r="F78" s="404"/>
      <c r="G78" s="448"/>
      <c r="H78" s="404"/>
      <c r="I78" s="401"/>
      <c r="N78" s="402"/>
      <c r="R78" s="453"/>
      <c r="S78" s="404"/>
      <c r="T78" s="406"/>
      <c r="U78" s="405"/>
      <c r="V78" s="405"/>
      <c r="W78" s="458"/>
      <c r="X78" s="448"/>
    </row>
    <row r="79" spans="1:24">
      <c r="E79" s="404"/>
      <c r="F79" s="404"/>
      <c r="G79" s="448"/>
      <c r="H79" s="404"/>
      <c r="I79" s="171"/>
      <c r="R79" s="453"/>
      <c r="S79" s="404"/>
      <c r="T79" s="406"/>
      <c r="U79" s="405"/>
      <c r="V79" s="405"/>
      <c r="W79" s="458"/>
      <c r="X79" s="448"/>
    </row>
    <row r="80" spans="1:24">
      <c r="E80" s="404"/>
      <c r="F80" s="404"/>
      <c r="G80" s="448"/>
      <c r="H80" s="404"/>
      <c r="I80" s="401"/>
      <c r="N80" s="402"/>
      <c r="R80" s="453"/>
      <c r="S80" s="404"/>
      <c r="T80" s="404"/>
      <c r="U80" s="448"/>
      <c r="V80" s="450"/>
      <c r="W80" s="448"/>
      <c r="X80" s="448"/>
    </row>
    <row r="81" spans="6:20">
      <c r="I81" s="171"/>
      <c r="R81" s="453"/>
    </row>
    <row r="82" spans="6:20">
      <c r="I82" s="401"/>
      <c r="N82" s="402"/>
      <c r="O82" s="446"/>
      <c r="R82" s="460"/>
      <c r="T82" s="403"/>
    </row>
    <row r="87" spans="6:20">
      <c r="F87" s="402"/>
      <c r="G87" s="171"/>
      <c r="H87" s="171"/>
      <c r="I87" s="171"/>
      <c r="J87" s="171"/>
      <c r="K87" s="171"/>
      <c r="L87" s="171"/>
      <c r="M87" s="171"/>
      <c r="O87" s="171"/>
      <c r="R87" s="304"/>
    </row>
    <row r="88" spans="6:20">
      <c r="G88" s="401"/>
      <c r="H88" s="401"/>
      <c r="I88" s="401"/>
      <c r="J88" s="171"/>
      <c r="K88" s="171"/>
      <c r="L88" s="401"/>
      <c r="M88" s="401"/>
      <c r="N88" s="402"/>
      <c r="O88" s="401"/>
      <c r="R88" s="304"/>
    </row>
  </sheetData>
  <sortState xmlns:xlrd2="http://schemas.microsoft.com/office/spreadsheetml/2017/richdata2" ref="E3:T42">
    <sortCondition ref="E3:E42"/>
  </sortState>
  <mergeCells count="2">
    <mergeCell ref="H1:L1"/>
    <mergeCell ref="A1:G1"/>
  </mergeCells>
  <hyperlinks>
    <hyperlink ref="R17" r:id="rId1" xr:uid="{00000000-0004-0000-0300-000000000000}"/>
    <hyperlink ref="R42" r:id="rId2" xr:uid="{00000000-0004-0000-0300-000001000000}"/>
    <hyperlink ref="R40" r:id="rId3" xr:uid="{00000000-0004-0000-0300-000002000000}"/>
    <hyperlink ref="R36" r:id="rId4" xr:uid="{00000000-0004-0000-0300-000003000000}"/>
    <hyperlink ref="R38" r:id="rId5" xr:uid="{00000000-0004-0000-0300-000004000000}"/>
    <hyperlink ref="R25" r:id="rId6" xr:uid="{00000000-0004-0000-0300-000005000000}"/>
    <hyperlink ref="R19" r:id="rId7" xr:uid="{00000000-0004-0000-0300-000006000000}"/>
    <hyperlink ref="R33" r:id="rId8" xr:uid="{00000000-0004-0000-0300-000007000000}"/>
    <hyperlink ref="R41" r:id="rId9" display="marco.nueesch@faustball-widnau.ch" xr:uid="{00000000-0004-0000-0300-000008000000}"/>
    <hyperlink ref="R14" r:id="rId10" xr:uid="{00000000-0004-0000-0300-000009000000}"/>
    <hyperlink ref="R22" r:id="rId11" xr:uid="{00000000-0004-0000-0300-00000A000000}"/>
    <hyperlink ref="R35" r:id="rId12" xr:uid="{00000000-0004-0000-0300-00000B000000}"/>
    <hyperlink ref="R28" r:id="rId13" xr:uid="{00000000-0004-0000-0300-00000C000000}"/>
    <hyperlink ref="R27" r:id="rId14" xr:uid="{00000000-0004-0000-0300-00000D000000}"/>
    <hyperlink ref="R39" r:id="rId15" xr:uid="{00000000-0004-0000-0300-00000E000000}"/>
    <hyperlink ref="R12" r:id="rId16" xr:uid="{00000000-0004-0000-0300-00000F000000}"/>
    <hyperlink ref="R37" r:id="rId17" xr:uid="{00000000-0004-0000-0300-000010000000}"/>
    <hyperlink ref="R32" r:id="rId18" xr:uid="{00000000-0004-0000-0300-000011000000}"/>
    <hyperlink ref="R23" r:id="rId19" xr:uid="{00000000-0004-0000-0300-000012000000}"/>
    <hyperlink ref="R24" r:id="rId20" xr:uid="{00000000-0004-0000-0300-000013000000}"/>
    <hyperlink ref="W15" r:id="rId21" xr:uid="{00000000-0004-0000-0300-000014000000}"/>
    <hyperlink ref="R30" r:id="rId22" xr:uid="{00000000-0004-0000-0300-000015000000}"/>
    <hyperlink ref="R6" r:id="rId23" xr:uid="{00000000-0004-0000-0300-000016000000}"/>
    <hyperlink ref="R9" r:id="rId24" xr:uid="{00000000-0004-0000-0300-000017000000}"/>
    <hyperlink ref="R8" r:id="rId25" xr:uid="{00000000-0004-0000-0300-000018000000}"/>
    <hyperlink ref="R18" r:id="rId26" xr:uid="{00000000-0004-0000-0300-000019000000}"/>
    <hyperlink ref="R29" r:id="rId27" xr:uid="{00000000-0004-0000-0300-00001A000000}"/>
    <hyperlink ref="R13" r:id="rId28" xr:uid="{00000000-0004-0000-0300-00001B000000}"/>
    <hyperlink ref="R3" r:id="rId29" xr:uid="{00000000-0004-0000-0300-00001C000000}"/>
    <hyperlink ref="R10" r:id="rId30" xr:uid="{00000000-0004-0000-0300-00001D000000}"/>
    <hyperlink ref="R4" r:id="rId31" xr:uid="{00000000-0004-0000-0300-00001E000000}"/>
    <hyperlink ref="R7" r:id="rId32" xr:uid="{00000000-0004-0000-0300-00001F000000}"/>
    <hyperlink ref="R26" r:id="rId33" xr:uid="{00000000-0004-0000-0300-000020000000}"/>
    <hyperlink ref="R34" r:id="rId34" xr:uid="{00000000-0004-0000-0300-000021000000}"/>
    <hyperlink ref="R31" r:id="rId35" xr:uid="{00000000-0004-0000-0300-000022000000}"/>
    <hyperlink ref="R20" r:id="rId36" xr:uid="{00000000-0004-0000-0300-000023000000}"/>
    <hyperlink ref="R11" r:id="rId37" xr:uid="{00000000-0004-0000-0300-000024000000}"/>
    <hyperlink ref="R5" r:id="rId38" xr:uid="{00000000-0004-0000-0300-000025000000}"/>
    <hyperlink ref="R16" r:id="rId39" xr:uid="{00000000-0004-0000-0300-000026000000}"/>
    <hyperlink ref="R21" r:id="rId40" xr:uid="{00000000-0004-0000-0300-000027000000}"/>
  </hyperlinks>
  <printOptions horizontalCentered="1" verticalCentered="1"/>
  <pageMargins left="0.23622047244094491" right="0.23622047244094491" top="0.15748031496062992" bottom="0.15748031496062992" header="0.19685039370078741" footer="0.19685039370078741"/>
  <pageSetup paperSize="9" scale="70" orientation="landscape" r:id="rId41"/>
  <headerFooter alignWithMargins="0">
    <oddFooter>&amp;L35. CH CUP 2021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8'!A5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8'!A15</f>
        <v>45805</v>
      </c>
      <c r="F6" s="1343"/>
      <c r="G6" s="1343"/>
      <c r="H6" s="1343"/>
      <c r="I6" s="1343"/>
      <c r="J6" s="1320" t="s">
        <v>324</v>
      </c>
      <c r="K6" s="1320"/>
      <c r="L6" s="1321">
        <f>'Aufgebot 8'!G15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8'!L15</f>
        <v>9205 Waldkirch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8'!Y5</f>
        <v>8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24" t="str">
        <f>'Aufgebot 8'!A8</f>
        <v>TSV Waldkirch ( 3. Liga F )</v>
      </c>
      <c r="H8" s="1324"/>
      <c r="I8" s="1324"/>
      <c r="J8" s="1324"/>
      <c r="K8" s="1324"/>
      <c r="L8" s="1324"/>
      <c r="M8" s="1324"/>
      <c r="N8" s="1324"/>
      <c r="O8" s="1324"/>
      <c r="P8" s="1324"/>
      <c r="Q8" s="1325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str">
        <f>'Aufgebot 8'!O8</f>
        <v>SUS Widnau   ( NLA )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8'!A19&amp;" "&amp;'Aufgebot 8'!G19</f>
        <v>Reto Mähr +41 79 452 77 62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8'!A9</f>
        <v>Stefan  Zielger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8'!$G$34&gt;0,1,"")</f>
        <v>1</v>
      </c>
      <c r="H30" s="249">
        <f>IF('Aufgebot 8'!$G$34&gt;0,2,"")</f>
        <v>2</v>
      </c>
      <c r="I30" s="249">
        <f>IF('Aufgebot 8'!$G$34=3,3,"")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8'!$G$34&gt;0,1,"")</f>
        <v>1</v>
      </c>
      <c r="H32" s="249">
        <f>IF('Aufgebot 8'!$G$34&gt;0,2,"")</f>
        <v>2</v>
      </c>
      <c r="I32" s="249">
        <f>IF('Aufgebot 8'!$G$34=3,3,"")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8'!$G$34&gt;0,1,"")</f>
        <v>1</v>
      </c>
      <c r="H34" s="249">
        <f>IF('Aufgebot 8'!$G$34&gt;0,2,"")</f>
        <v>2</v>
      </c>
      <c r="I34" s="249">
        <f>IF('Aufgebot 8'!$G$34=3,3,"")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8'!$G$34&gt;0,1,"")</f>
        <v>1</v>
      </c>
      <c r="H36" s="249">
        <f>IF('Aufgebot 8'!$G$34&gt;0,2,"")</f>
        <v>2</v>
      </c>
      <c r="I36" s="249">
        <f>IF('Aufgebot 8'!$G$34=3,3,"")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8'!$G$34&gt;0,1,"")</f>
        <v>1</v>
      </c>
      <c r="H39" s="249">
        <f>IF('Aufgebot 8'!$G$34&gt;0,2,"")</f>
        <v>2</v>
      </c>
      <c r="I39" s="249">
        <f>IF('Aufgebot 8'!$G$34=3,3,"")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8'!$G$34&gt;0,1,"")</f>
        <v>1</v>
      </c>
      <c r="H41" s="249">
        <f>IF('Aufgebot 8'!$G$34&gt;0,2,"")</f>
        <v>2</v>
      </c>
      <c r="I41" s="249">
        <f>IF('Aufgebot 8'!$G$34=3,3,"")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8'!$G$34&gt;0,1,"")</f>
        <v>1</v>
      </c>
      <c r="H43" s="249">
        <f>IF('Aufgebot 8'!$G$34&gt;0,2,"")</f>
        <v>2</v>
      </c>
      <c r="I43" s="249">
        <f>IF('Aufgebot 8'!$G$34=3,3,"")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8'!$G$34&gt;0,1,"")</f>
        <v>1</v>
      </c>
      <c r="H45" s="249">
        <f>IF('Aufgebot 8'!$G$34&gt;0,2,"")</f>
        <v>2</v>
      </c>
      <c r="I45" s="249">
        <f>IF('Aufgebot 8'!$G$34=3,3,"")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8'!$G$34&gt;0,1,"")</f>
        <v>1</v>
      </c>
      <c r="H48" s="249">
        <f>IF('Aufgebot 8'!$G$34&gt;0,2,"")</f>
        <v>2</v>
      </c>
      <c r="I48" s="249">
        <f>IF('Aufgebot 8'!$G$34=3,3,"")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9</v>
      </c>
      <c r="Z5" s="394"/>
      <c r="AA5" s="396"/>
      <c r="AC5" s="156"/>
      <c r="AD5" s="265"/>
      <c r="AE5" s="172"/>
    </row>
    <row r="6" spans="1:33" ht="9" customHeight="1" thickBot="1">
      <c r="A6" s="363">
        <f>Eigaben!F36</f>
        <v>51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5">
        <f>Eigaben!G36</f>
        <v>68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Spreitenbach 1 ( 1. Liga W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Oberentfelden 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Thomas Isenschmid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Christian Suter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Aeppenhaldenstr 3b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4800 Zofingen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079 481 86 81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IF(Eigaben!$AG$84=0,"",VLOOKUP($O$6,Eigaben!$Y$17:$AH$103,9,1))</f>
        <v>079 476 04 32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thomas@isenschmid.com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christian.suter@faustballcenter.ch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Eigaben!C36</f>
        <v>9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IF(Eigaben!C36=0,"",VLOOKUP(C13,Eigaben!$C$28:$V$109,13,0))</f>
        <v>45791</v>
      </c>
      <c r="B15" s="1199"/>
      <c r="C15" s="1199"/>
      <c r="D15" s="1199"/>
      <c r="E15" s="1199"/>
      <c r="F15" s="1199"/>
      <c r="G15" s="1194">
        <f>IF(Eigaben!C36=0,"",VLOOKUP(C13,Eigaben!$C$28:$V$110,14,0))</f>
        <v>0.8125</v>
      </c>
      <c r="H15" s="1194"/>
      <c r="I15" s="1194"/>
      <c r="J15" s="1194"/>
      <c r="K15" s="1194"/>
      <c r="L15" s="1195" t="str">
        <f>IF(Eigaben!C36=0,"",VLOOKUP(C13,Eigaben!$C$28:$V$110,15,0))</f>
        <v>Spreitenbach</v>
      </c>
      <c r="M15" s="1196"/>
      <c r="N15" s="1196"/>
      <c r="O15" s="1196"/>
      <c r="P15" s="1196"/>
      <c r="Q15" s="1196"/>
      <c r="R15" s="1196"/>
      <c r="S15" s="1197"/>
      <c r="T15" s="1183" t="str">
        <f>IF(Eigaben!C36=0,"",VLOOKUP(C13,Eigaben!C28:V110,16,0))</f>
        <v>Schulanlage Seefeld</v>
      </c>
      <c r="U15" s="1184"/>
      <c r="V15" s="1184"/>
      <c r="W15" s="1184"/>
      <c r="X15" s="1184"/>
      <c r="Y15" s="1184"/>
      <c r="Z15" s="1184"/>
      <c r="AA15" s="1185"/>
      <c r="AC15" s="397"/>
      <c r="AD15" s="397"/>
      <c r="AG15" s="12"/>
    </row>
    <row r="16" spans="1:33" ht="12.75" customHeight="1" thickBot="1">
      <c r="A16" s="357"/>
      <c r="B16" s="358"/>
      <c r="C16" s="359">
        <f>Eigaben!T36</f>
        <v>25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Rolf Häner</v>
      </c>
      <c r="B19" s="1362"/>
      <c r="C19" s="1362"/>
      <c r="D19" s="1362"/>
      <c r="E19" s="1362"/>
      <c r="F19" s="1363"/>
      <c r="G19" s="860" t="str">
        <f>IF(C16=0,"",VLOOKUP(C16,Schiri_25!A2:L181,9,1))</f>
        <v>+41 76 465 99 66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130" t="str">
        <f>IF(C16=0,"",VLOOKUP(C16,Schiri_25!A2:L181,12,1))</f>
        <v>haener.rolf@bluewin.ch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 t="s">
        <v>1014</v>
      </c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Eigaben!V36</f>
        <v>17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Eigaben!S36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479" priority="20" stopIfTrue="1" operator="greaterThan">
      <formula>$C$41</formula>
    </cfRule>
  </conditionalFormatting>
  <conditionalFormatting sqref="C41">
    <cfRule type="cellIs" dxfId="478" priority="10" stopIfTrue="1" operator="greaterThan">
      <formula>$A$41</formula>
    </cfRule>
    <cfRule type="cellIs" dxfId="477" priority="11" stopIfTrue="1" operator="greaterThan">
      <formula>$A$41</formula>
    </cfRule>
  </conditionalFormatting>
  <conditionalFormatting sqref="D41">
    <cfRule type="cellIs" dxfId="476" priority="19" stopIfTrue="1" operator="greaterThan">
      <formula>$F$41</formula>
    </cfRule>
  </conditionalFormatting>
  <conditionalFormatting sqref="F41">
    <cfRule type="cellIs" dxfId="475" priority="9" stopIfTrue="1" operator="greaterThan">
      <formula>$D$41</formula>
    </cfRule>
  </conditionalFormatting>
  <conditionalFormatting sqref="G41">
    <cfRule type="cellIs" dxfId="474" priority="18" stopIfTrue="1" operator="greaterThan">
      <formula>$I$41</formula>
    </cfRule>
  </conditionalFormatting>
  <conditionalFormatting sqref="I41">
    <cfRule type="cellIs" dxfId="473" priority="8" stopIfTrue="1" operator="greaterThan">
      <formula>$G$41</formula>
    </cfRule>
  </conditionalFormatting>
  <conditionalFormatting sqref="J41">
    <cfRule type="cellIs" dxfId="472" priority="17" stopIfTrue="1" operator="greaterThan">
      <formula>$L$41</formula>
    </cfRule>
  </conditionalFormatting>
  <conditionalFormatting sqref="L41">
    <cfRule type="cellIs" dxfId="471" priority="7" stopIfTrue="1" operator="greaterThan">
      <formula>$J$41</formula>
    </cfRule>
  </conditionalFormatting>
  <conditionalFormatting sqref="M41">
    <cfRule type="cellIs" dxfId="470" priority="16" stopIfTrue="1" operator="greaterThan">
      <formula>$O$41</formula>
    </cfRule>
  </conditionalFormatting>
  <conditionalFormatting sqref="O41">
    <cfRule type="cellIs" dxfId="469" priority="6" stopIfTrue="1" operator="greaterThan">
      <formula>$M$41</formula>
    </cfRule>
  </conditionalFormatting>
  <conditionalFormatting sqref="P41">
    <cfRule type="cellIs" dxfId="468" priority="15" stopIfTrue="1" operator="greaterThan">
      <formula>$R$41</formula>
    </cfRule>
  </conditionalFormatting>
  <conditionalFormatting sqref="R41">
    <cfRule type="cellIs" dxfId="467" priority="5" stopIfTrue="1" operator="greaterThan">
      <formula>$P$41</formula>
    </cfRule>
  </conditionalFormatting>
  <conditionalFormatting sqref="S41">
    <cfRule type="cellIs" dxfId="466" priority="14" stopIfTrue="1" operator="greaterThan">
      <formula>$U$41</formula>
    </cfRule>
  </conditionalFormatting>
  <conditionalFormatting sqref="U41">
    <cfRule type="cellIs" dxfId="465" priority="1" stopIfTrue="1" operator="greaterThan">
      <formula>$S$41</formula>
    </cfRule>
    <cfRule type="cellIs" dxfId="464" priority="4" stopIfTrue="1" operator="greaterThan">
      <formula>$U$41</formula>
    </cfRule>
  </conditionalFormatting>
  <conditionalFormatting sqref="V41">
    <cfRule type="cellIs" dxfId="463" priority="13" stopIfTrue="1" operator="greaterThan">
      <formula>$X$41</formula>
    </cfRule>
  </conditionalFormatting>
  <conditionalFormatting sqref="X41">
    <cfRule type="cellIs" dxfId="462" priority="3" stopIfTrue="1" operator="greaterThan">
      <formula>$V$41</formula>
    </cfRule>
  </conditionalFormatting>
  <conditionalFormatting sqref="Y41">
    <cfRule type="cellIs" dxfId="461" priority="12" stopIfTrue="1" operator="greaterThan">
      <formula>$AA$41</formula>
    </cfRule>
  </conditionalFormatting>
  <conditionalFormatting sqref="AA41">
    <cfRule type="cellIs" dxfId="460" priority="2" stopIfTrue="1" operator="greaterThan">
      <formula>$Y$41</formula>
    </cfRule>
  </conditionalFormatting>
  <hyperlinks>
    <hyperlink ref="R45" r:id="rId1" display="pabst@swissfaustball.ch" xr:uid="{00000000-0004-0000-1D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9'!A5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9'!A15</f>
        <v>45791</v>
      </c>
      <c r="F6" s="1343"/>
      <c r="G6" s="1343"/>
      <c r="H6" s="1343"/>
      <c r="I6" s="1343"/>
      <c r="J6" s="1320" t="s">
        <v>324</v>
      </c>
      <c r="K6" s="1320"/>
      <c r="L6" s="1321">
        <f>'Aufgebot 9'!G15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9'!L15</f>
        <v>Spreitenbach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9'!Y5</f>
        <v>9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9'!A8</f>
        <v>STV Spreitenbach 1 ( 1. Liga W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9'!O8</f>
        <v>STV Oberentfelden 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9'!A19&amp;" "&amp;'Aufgebot 9'!G19</f>
        <v>Rolf Häner +41 76 465 99 66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9'!A9</f>
        <v>Thomas Isenschmid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9'!$G$34&gt;0,1,"")</f>
        <v>1</v>
      </c>
      <c r="H30" s="249">
        <f>IF('Aufgebot 9'!$G$34&gt;0,2,"")</f>
        <v>2</v>
      </c>
      <c r="I30" s="249">
        <f>IF('Aufgebot 9'!$G$34=3,3,"")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9'!$G$34&gt;0,1,"")</f>
        <v>1</v>
      </c>
      <c r="H32" s="249">
        <f>IF('Aufgebot 9'!$G$34&gt;0,2,"")</f>
        <v>2</v>
      </c>
      <c r="I32" s="249">
        <f>IF('Aufgebot 9'!$G$34=3,3,"")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9'!$G$34&gt;0,1,"")</f>
        <v>1</v>
      </c>
      <c r="H34" s="249">
        <f>IF('Aufgebot 9'!$G$34&gt;0,2,"")</f>
        <v>2</v>
      </c>
      <c r="I34" s="249">
        <f>IF('Aufgebot 9'!$G$34=3,3,"")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9'!$G$34&gt;0,1,"")</f>
        <v>1</v>
      </c>
      <c r="H36" s="249">
        <f>IF('Aufgebot 9'!$G$34&gt;0,2,"")</f>
        <v>2</v>
      </c>
      <c r="I36" s="249">
        <f>IF('Aufgebot 9'!$G$34=3,3,"")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9'!$G$34&gt;0,1,"")</f>
        <v>1</v>
      </c>
      <c r="H39" s="249">
        <f>IF('Aufgebot 9'!$G$34&gt;0,2,"")</f>
        <v>2</v>
      </c>
      <c r="I39" s="249">
        <f>IF('Aufgebot 9'!$G$34=3,3,"")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9'!$G$34&gt;0,1,"")</f>
        <v>1</v>
      </c>
      <c r="H41" s="249">
        <f>IF('Aufgebot 9'!$G$34&gt;0,2,"")</f>
        <v>2</v>
      </c>
      <c r="I41" s="249">
        <f>IF('Aufgebot 9'!$G$34=3,3,"")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9'!$G$34&gt;0,1,"")</f>
        <v>1</v>
      </c>
      <c r="H43" s="249">
        <f>IF('Aufgebot 9'!$G$34&gt;0,2,"")</f>
        <v>2</v>
      </c>
      <c r="I43" s="249">
        <f>IF('Aufgebot 9'!$G$34=3,3,"")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9'!$G$34&gt;0,1,"")</f>
        <v>1</v>
      </c>
      <c r="H45" s="249">
        <f>IF('Aufgebot 9'!$G$34&gt;0,2,"")</f>
        <v>2</v>
      </c>
      <c r="I45" s="249">
        <f>IF('Aufgebot 9'!$G$34=3,3,"")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9'!$G$34&gt;0,1,"")</f>
        <v>1</v>
      </c>
      <c r="H48" s="249">
        <f>IF('Aufgebot 9'!$G$34&gt;0,2,"")</f>
        <v>2</v>
      </c>
      <c r="I48" s="249">
        <f>IF('Aufgebot 9'!$G$34=3,3,"")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10</v>
      </c>
      <c r="Z5" s="394"/>
      <c r="AA5" s="396"/>
      <c r="AC5" s="156"/>
      <c r="AD5" s="265"/>
      <c r="AE5" s="172"/>
    </row>
    <row r="6" spans="1:33" ht="9" customHeight="1" thickBot="1">
      <c r="A6" s="363">
        <f>Eigaben!F37</f>
        <v>49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Eigaben!G37</f>
        <v>63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FB Burgdorf (1. Liga  W)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Vordemwald 1 ( NLB W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Stefan Tschannen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Reto von Ballmoos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Rumiweg 9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4900 Langenthal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Rotfarbstr 9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4800 Zofingen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079 329 41 52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079 721 45 82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st.fb_burgdorf@bluewin.ch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reto.vonballmoos@gmail.com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266">
        <f>Eigaben!C37</f>
        <v>10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13</v>
      </c>
      <c r="B15" s="1199"/>
      <c r="C15" s="1199"/>
      <c r="D15" s="1199"/>
      <c r="E15" s="1199"/>
      <c r="F15" s="1199"/>
      <c r="G15" s="1194">
        <f>IF(Eigaben!C28=0,"",VLOOKUP(C13,Eigaben!$C$28:$V$110,14,0))</f>
        <v>0.83333333333333337</v>
      </c>
      <c r="H15" s="1194"/>
      <c r="I15" s="1194"/>
      <c r="J15" s="1194"/>
      <c r="K15" s="1194"/>
      <c r="L15" s="1195" t="str">
        <f>IF(Eigaben!C28=0,"",VLOOKUP(C13,Eigaben!$C$28:$V$1110,15,0))</f>
        <v>Kirchberg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Grossmatt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Eigaben!T37</f>
        <v>83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Evi Baumberger</v>
      </c>
      <c r="B19" s="1362"/>
      <c r="C19" s="1362"/>
      <c r="D19" s="1362"/>
      <c r="E19" s="1362"/>
      <c r="F19" s="1363"/>
      <c r="G19" s="860" t="str">
        <f>IF(C16=0,"",VLOOKUP(C16,Schiri_25!A2:L181,9,1))</f>
        <v>076 722 21 11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0767222111</v>
      </c>
      <c r="N19" s="1408"/>
      <c r="O19" s="1408"/>
      <c r="P19" s="1408"/>
      <c r="Q19" s="902"/>
      <c r="R19" s="1130" t="str">
        <f>IF(C16=0,"",VLOOKUP(C16,Schiri_25!A2:L181,12,1))</f>
        <v>baumberger.e@gawnet.ch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0.82291666666666674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Eigaben!V37</f>
        <v>16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Eigaben!S37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459" priority="20" stopIfTrue="1" operator="greaterThan">
      <formula>$C$41</formula>
    </cfRule>
  </conditionalFormatting>
  <conditionalFormatting sqref="C41">
    <cfRule type="cellIs" dxfId="458" priority="10" stopIfTrue="1" operator="greaterThan">
      <formula>$A$41</formula>
    </cfRule>
    <cfRule type="cellIs" dxfId="457" priority="11" stopIfTrue="1" operator="greaterThan">
      <formula>$A$41</formula>
    </cfRule>
  </conditionalFormatting>
  <conditionalFormatting sqref="D41">
    <cfRule type="cellIs" dxfId="456" priority="19" stopIfTrue="1" operator="greaterThan">
      <formula>$F$41</formula>
    </cfRule>
  </conditionalFormatting>
  <conditionalFormatting sqref="F41">
    <cfRule type="cellIs" dxfId="455" priority="9" stopIfTrue="1" operator="greaterThan">
      <formula>$D$41</formula>
    </cfRule>
  </conditionalFormatting>
  <conditionalFormatting sqref="G41">
    <cfRule type="cellIs" dxfId="454" priority="18" stopIfTrue="1" operator="greaterThan">
      <formula>$I$41</formula>
    </cfRule>
  </conditionalFormatting>
  <conditionalFormatting sqref="I41">
    <cfRule type="cellIs" dxfId="453" priority="8" stopIfTrue="1" operator="greaterThan">
      <formula>$G$41</formula>
    </cfRule>
  </conditionalFormatting>
  <conditionalFormatting sqref="J41">
    <cfRule type="cellIs" dxfId="452" priority="17" stopIfTrue="1" operator="greaterThan">
      <formula>$L$41</formula>
    </cfRule>
  </conditionalFormatting>
  <conditionalFormatting sqref="L41">
    <cfRule type="cellIs" dxfId="451" priority="7" stopIfTrue="1" operator="greaterThan">
      <formula>$J$41</formula>
    </cfRule>
  </conditionalFormatting>
  <conditionalFormatting sqref="M41">
    <cfRule type="cellIs" dxfId="450" priority="16" stopIfTrue="1" operator="greaterThan">
      <formula>$O$41</formula>
    </cfRule>
  </conditionalFormatting>
  <conditionalFormatting sqref="O41">
    <cfRule type="cellIs" dxfId="449" priority="6" stopIfTrue="1" operator="greaterThan">
      <formula>$M$41</formula>
    </cfRule>
  </conditionalFormatting>
  <conditionalFormatting sqref="P41">
    <cfRule type="cellIs" dxfId="448" priority="15" stopIfTrue="1" operator="greaterThan">
      <formula>$R$41</formula>
    </cfRule>
  </conditionalFormatting>
  <conditionalFormatting sqref="R41">
    <cfRule type="cellIs" dxfId="447" priority="5" stopIfTrue="1" operator="greaterThan">
      <formula>$P$41</formula>
    </cfRule>
  </conditionalFormatting>
  <conditionalFormatting sqref="S41">
    <cfRule type="cellIs" dxfId="446" priority="14" stopIfTrue="1" operator="greaterThan">
      <formula>$U$41</formula>
    </cfRule>
  </conditionalFormatting>
  <conditionalFormatting sqref="U41">
    <cfRule type="cellIs" dxfId="445" priority="1" stopIfTrue="1" operator="greaterThan">
      <formula>$S$41</formula>
    </cfRule>
    <cfRule type="cellIs" dxfId="444" priority="4" stopIfTrue="1" operator="greaterThan">
      <formula>$U$41</formula>
    </cfRule>
  </conditionalFormatting>
  <conditionalFormatting sqref="V41">
    <cfRule type="cellIs" dxfId="443" priority="13" stopIfTrue="1" operator="greaterThan">
      <formula>$X$41</formula>
    </cfRule>
  </conditionalFormatting>
  <conditionalFormatting sqref="X41">
    <cfRule type="cellIs" dxfId="442" priority="3" stopIfTrue="1" operator="greaterThan">
      <formula>$V$41</formula>
    </cfRule>
  </conditionalFormatting>
  <conditionalFormatting sqref="Y41">
    <cfRule type="cellIs" dxfId="441" priority="12" stopIfTrue="1" operator="greaterThan">
      <formula>$AA$41</formula>
    </cfRule>
  </conditionalFormatting>
  <conditionalFormatting sqref="AA41">
    <cfRule type="cellIs" dxfId="440" priority="2" stopIfTrue="1" operator="greaterThan">
      <formula>$Y$41</formula>
    </cfRule>
  </conditionalFormatting>
  <hyperlinks>
    <hyperlink ref="R45" r:id="rId1" display="pabst@swissfaustball.ch" xr:uid="{00000000-0004-0000-1F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10'!A5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10'!A15</f>
        <v>13</v>
      </c>
      <c r="F6" s="1343"/>
      <c r="G6" s="1343"/>
      <c r="H6" s="1343"/>
      <c r="I6" s="1343"/>
      <c r="J6" s="1320" t="s">
        <v>324</v>
      </c>
      <c r="K6" s="1320"/>
      <c r="L6" s="1321">
        <f>'Aufgebot 10'!G15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10'!L15</f>
        <v>Kirchberg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10'!Y5</f>
        <v>10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10'!A8</f>
        <v>FB Burgdorf (1. Liga  W)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10'!O8</f>
        <v>STV Vordemwald 1 ( NLB W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10'!A19&amp;" "&amp;'Aufgebot 10'!G19</f>
        <v>Evi Baumberger 076 722 21 11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10'!A9</f>
        <v>Stefan Tschannen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10'!$G$34&gt;0,1,"")</f>
        <v>1</v>
      </c>
      <c r="H30" s="249">
        <f>IF('Aufgebot 10'!$G$34&gt;0,2,"")</f>
        <v>2</v>
      </c>
      <c r="I30" s="249" t="str">
        <f>IF('Aufgebot 10'!$G$34=3,3,"")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10'!$G$34&gt;0,1,"")</f>
        <v>1</v>
      </c>
      <c r="H32" s="249">
        <f>IF('Aufgebot 10'!$G$34&gt;0,2,"")</f>
        <v>2</v>
      </c>
      <c r="I32" s="249" t="str">
        <f>IF('Aufgebot 10'!$G$34=3,3,"")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10'!$G$34&gt;0,1,"")</f>
        <v>1</v>
      </c>
      <c r="H34" s="249">
        <f>IF('Aufgebot 10'!$G$34&gt;0,2,"")</f>
        <v>2</v>
      </c>
      <c r="I34" s="249" t="str">
        <f>IF('Aufgebot 10'!$G$34=3,3,"")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10'!$G$34&gt;0,1,"")</f>
        <v>1</v>
      </c>
      <c r="H36" s="249">
        <f>IF('Aufgebot 10'!$G$34&gt;0,2,"")</f>
        <v>2</v>
      </c>
      <c r="I36" s="249" t="str">
        <f>IF('Aufgebot 10'!$G$34=3,3,"")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10'!$G$34&gt;0,1,"")</f>
        <v>1</v>
      </c>
      <c r="H39" s="249">
        <f>IF('Aufgebot 10'!$G$34&gt;0,2,"")</f>
        <v>2</v>
      </c>
      <c r="I39" s="249" t="str">
        <f>IF('Aufgebot 10'!$G$34=3,3,"")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10'!$G$34&gt;0,1,"")</f>
        <v>1</v>
      </c>
      <c r="H41" s="249">
        <f>IF('Aufgebot 10'!$G$34&gt;0,2,"")</f>
        <v>2</v>
      </c>
      <c r="I41" s="249" t="str">
        <f>IF('Aufgebot 10'!$G$34=3,3,"")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10'!$G$34&gt;0,1,"")</f>
        <v>1</v>
      </c>
      <c r="H43" s="249">
        <f>IF('Aufgebot 10'!$G$34&gt;0,2,"")</f>
        <v>2</v>
      </c>
      <c r="I43" s="249" t="str">
        <f>IF('Aufgebot 10'!$G$34=3,3,"")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10'!$G$34&gt;0,1,"")</f>
        <v>1</v>
      </c>
      <c r="H45" s="249">
        <f>IF('Aufgebot 10'!$G$34&gt;0,2,"")</f>
        <v>2</v>
      </c>
      <c r="I45" s="249" t="str">
        <f>IF('Aufgebot 10'!$G$34=3,3,"")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10'!$G$34&gt;0,1,"")</f>
        <v>1</v>
      </c>
      <c r="H48" s="249">
        <f>IF('Aufgebot 10'!$G$34&gt;0,2,"")</f>
        <v>2</v>
      </c>
      <c r="I48" s="249" t="str">
        <f>IF('Aufgebot 10'!$G$34=3,3,"")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M53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11</v>
      </c>
      <c r="Z5" s="394"/>
      <c r="AA5" s="396"/>
      <c r="AC5" s="156"/>
      <c r="AD5" s="265"/>
      <c r="AE5" s="172"/>
    </row>
    <row r="6" spans="1:33" ht="9" customHeight="1" thickBot="1">
      <c r="A6" s="363">
        <f>Eigaben!F38</f>
        <v>60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Eigaben!G38</f>
        <v>62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Schlieren 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FB Schwellbrunn ( NLB  O)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Andreas Fritschi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Kenneth Schoch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Ahornstr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9100 Herisau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079 602 18 32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079 603 88 30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maenner@faustballschlieren.ch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kennethschoch@bluewin.ch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Eigaben!C38</f>
        <v>11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IF(Eigaben!C38=0,"",VLOOKUP(C13,Eigaben!$C$28:$V$109,13,0))</f>
        <v>45798</v>
      </c>
      <c r="B15" s="1199"/>
      <c r="C15" s="1199"/>
      <c r="D15" s="1199"/>
      <c r="E15" s="1199"/>
      <c r="F15" s="1199"/>
      <c r="G15" s="1194">
        <f>IF(Eigaben!C38=0,"",VLOOKUP(C13,Eigaben!$C$28:$V$110,14,0))</f>
        <v>0.79166666666666663</v>
      </c>
      <c r="H15" s="1194"/>
      <c r="I15" s="1194"/>
      <c r="J15" s="1194"/>
      <c r="K15" s="1194"/>
      <c r="L15" s="1195" t="str">
        <f>IF(Eigaben!C38=0,"",VLOOKUP(C13,Eigaben!$C$28:$V$1110,15,0))</f>
        <v>Schlieren</v>
      </c>
      <c r="M15" s="1196"/>
      <c r="N15" s="1196"/>
      <c r="O15" s="1196"/>
      <c r="P15" s="1196"/>
      <c r="Q15" s="1196"/>
      <c r="R15" s="1196"/>
      <c r="S15" s="1197"/>
      <c r="T15" s="1195" t="str">
        <f>IF(Eigaben!C38=0,"",VLOOKUP(C13,Eigaben!$C$28:$V$110,16,0))</f>
        <v>Sportplatz Unterrohr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Eigaben!T38</f>
        <v>51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Patrick Burkhalter</v>
      </c>
      <c r="B19" s="1362"/>
      <c r="C19" s="1362"/>
      <c r="D19" s="1362"/>
      <c r="E19" s="1362"/>
      <c r="F19" s="1363"/>
      <c r="G19" s="860" t="str">
        <f>IF(C16=0,"",VLOOKUP(C16,Schiri_25!A2:L181,9,1))</f>
        <v>+41 78 824 40 11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burkipa@hotmail.com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Eigaben!V38</f>
        <v>4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Eigaben!S38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36.75" customHeight="1">
      <c r="A43" s="1165" t="s">
        <v>628</v>
      </c>
      <c r="B43" s="1166"/>
      <c r="C43" s="1166"/>
      <c r="D43" s="1166"/>
      <c r="E43" s="1166"/>
      <c r="F43" s="1166"/>
      <c r="G43" s="1166"/>
      <c r="H43" s="1166"/>
      <c r="I43" s="1166"/>
      <c r="J43" s="1166"/>
      <c r="K43" s="1166"/>
      <c r="L43" s="1166"/>
      <c r="M43" s="1166"/>
      <c r="N43" s="1166"/>
      <c r="O43" s="1166"/>
      <c r="P43" s="1166"/>
      <c r="Q43" s="1166"/>
      <c r="R43" s="1166"/>
      <c r="S43" s="1166"/>
      <c r="T43" s="1166"/>
      <c r="U43" s="1166"/>
      <c r="V43" s="1166"/>
      <c r="W43" s="1166"/>
      <c r="X43" s="1166"/>
      <c r="Y43" s="1166"/>
      <c r="Z43" s="1166"/>
      <c r="AA43" s="1167"/>
    </row>
    <row r="44" spans="1:30" s="170" customFormat="1" ht="15.5">
      <c r="A44" s="1173" t="s">
        <v>38</v>
      </c>
      <c r="B44" s="1164"/>
      <c r="C44" s="1164"/>
      <c r="D44" s="1164"/>
      <c r="E44" s="1164"/>
      <c r="F44" s="1164"/>
      <c r="G44" s="1164"/>
      <c r="H44" s="1164"/>
      <c r="I44" s="1164"/>
      <c r="J44" s="1164"/>
      <c r="K44" s="962"/>
      <c r="L44" s="962"/>
      <c r="M44" s="962"/>
      <c r="N44" s="962"/>
      <c r="O44" s="962"/>
      <c r="P44" s="962"/>
      <c r="Q44" s="180"/>
      <c r="R44" s="1164" t="s">
        <v>611</v>
      </c>
      <c r="S44" s="962"/>
      <c r="T44" s="962"/>
      <c r="U44" s="962"/>
      <c r="V44" s="962"/>
      <c r="W44" s="962"/>
      <c r="X44" s="962"/>
      <c r="Y44" s="962"/>
      <c r="AA44" s="187"/>
    </row>
    <row r="45" spans="1:30" ht="6" customHeight="1" thickBot="1">
      <c r="A45" s="188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89"/>
    </row>
    <row r="46" spans="1:30" ht="20.25" customHeight="1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</row>
    <row r="47" spans="1:30" ht="42.75" customHeight="1">
      <c r="A47" s="1172" t="s">
        <v>246</v>
      </c>
      <c r="B47" s="1117"/>
      <c r="C47" s="1117"/>
      <c r="D47" s="1117"/>
      <c r="E47" s="1117"/>
      <c r="F47" s="1117"/>
      <c r="G47" s="1117"/>
      <c r="H47" s="1117"/>
      <c r="I47" s="1117"/>
      <c r="J47" s="1117"/>
      <c r="K47" s="1117"/>
      <c r="L47" s="1117"/>
      <c r="M47" s="1117"/>
      <c r="N47" s="1117"/>
      <c r="O47" s="1117"/>
      <c r="P47" s="1117"/>
      <c r="Q47" s="1117"/>
      <c r="R47" s="1117"/>
      <c r="S47" s="1117"/>
      <c r="T47" s="1117"/>
      <c r="U47" s="1171" t="s">
        <v>242</v>
      </c>
      <c r="V47" s="1171"/>
      <c r="W47" s="1171"/>
      <c r="X47" s="1174">
        <f ca="1">TODAY()</f>
        <v>45897</v>
      </c>
      <c r="Y47" s="1174"/>
      <c r="Z47" s="1174"/>
      <c r="AA47" s="1174"/>
    </row>
    <row r="50" spans="3:9" ht="15.5">
      <c r="C50" s="1163"/>
      <c r="D50" s="1163"/>
      <c r="E50" s="1163"/>
      <c r="F50" s="1163"/>
      <c r="G50" s="1163"/>
      <c r="H50" s="1163"/>
      <c r="I50" s="1163"/>
    </row>
    <row r="52" spans="3:9" ht="15.5">
      <c r="C52" s="168"/>
    </row>
    <row r="53" spans="3:9" ht="15.5">
      <c r="G53" s="167"/>
    </row>
  </sheetData>
  <mergeCells count="90">
    <mergeCell ref="A42:C42"/>
    <mergeCell ref="D42:U42"/>
    <mergeCell ref="V42:X42"/>
    <mergeCell ref="Y42:AA42"/>
    <mergeCell ref="C50:I50"/>
    <mergeCell ref="A43:AA43"/>
    <mergeCell ref="A44:I44"/>
    <mergeCell ref="J44:P44"/>
    <mergeCell ref="R44:Y44"/>
    <mergeCell ref="A47:T47"/>
    <mergeCell ref="U47:W47"/>
    <mergeCell ref="X47:AA47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439" priority="20" stopIfTrue="1" operator="greaterThan">
      <formula>$C$41</formula>
    </cfRule>
  </conditionalFormatting>
  <conditionalFormatting sqref="C41">
    <cfRule type="cellIs" dxfId="438" priority="10" stopIfTrue="1" operator="greaterThan">
      <formula>$A$41</formula>
    </cfRule>
    <cfRule type="cellIs" dxfId="437" priority="11" stopIfTrue="1" operator="greaterThan">
      <formula>$A$41</formula>
    </cfRule>
  </conditionalFormatting>
  <conditionalFormatting sqref="D41">
    <cfRule type="cellIs" dxfId="436" priority="19" stopIfTrue="1" operator="greaterThan">
      <formula>$F$41</formula>
    </cfRule>
  </conditionalFormatting>
  <conditionalFormatting sqref="F41">
    <cfRule type="cellIs" dxfId="435" priority="9" stopIfTrue="1" operator="greaterThan">
      <formula>$D$41</formula>
    </cfRule>
  </conditionalFormatting>
  <conditionalFormatting sqref="G41">
    <cfRule type="cellIs" dxfId="434" priority="18" stopIfTrue="1" operator="greaterThan">
      <formula>$I$41</formula>
    </cfRule>
  </conditionalFormatting>
  <conditionalFormatting sqref="I41">
    <cfRule type="cellIs" dxfId="433" priority="8" stopIfTrue="1" operator="greaterThan">
      <formula>$G$41</formula>
    </cfRule>
  </conditionalFormatting>
  <conditionalFormatting sqref="J41">
    <cfRule type="cellIs" dxfId="432" priority="17" stopIfTrue="1" operator="greaterThan">
      <formula>$L$41</formula>
    </cfRule>
  </conditionalFormatting>
  <conditionalFormatting sqref="L41">
    <cfRule type="cellIs" dxfId="431" priority="7" stopIfTrue="1" operator="greaterThan">
      <formula>$J$41</formula>
    </cfRule>
  </conditionalFormatting>
  <conditionalFormatting sqref="M41">
    <cfRule type="cellIs" dxfId="430" priority="16" stopIfTrue="1" operator="greaterThan">
      <formula>$O$41</formula>
    </cfRule>
  </conditionalFormatting>
  <conditionalFormatting sqref="O41">
    <cfRule type="cellIs" dxfId="429" priority="6" stopIfTrue="1" operator="greaterThan">
      <formula>$M$41</formula>
    </cfRule>
  </conditionalFormatting>
  <conditionalFormatting sqref="P41">
    <cfRule type="cellIs" dxfId="428" priority="15" stopIfTrue="1" operator="greaterThan">
      <formula>$R$41</formula>
    </cfRule>
  </conditionalFormatting>
  <conditionalFormatting sqref="R41">
    <cfRule type="cellIs" dxfId="427" priority="5" stopIfTrue="1" operator="greaterThan">
      <formula>$P$41</formula>
    </cfRule>
  </conditionalFormatting>
  <conditionalFormatting sqref="S41">
    <cfRule type="cellIs" dxfId="426" priority="14" stopIfTrue="1" operator="greaterThan">
      <formula>$U$41</formula>
    </cfRule>
  </conditionalFormatting>
  <conditionalFormatting sqref="U41">
    <cfRule type="cellIs" dxfId="425" priority="1" stopIfTrue="1" operator="greaterThan">
      <formula>$S$41</formula>
    </cfRule>
    <cfRule type="cellIs" dxfId="424" priority="4" stopIfTrue="1" operator="greaterThan">
      <formula>$U$41</formula>
    </cfRule>
  </conditionalFormatting>
  <conditionalFormatting sqref="V41">
    <cfRule type="cellIs" dxfId="423" priority="13" stopIfTrue="1" operator="greaterThan">
      <formula>$X$41</formula>
    </cfRule>
  </conditionalFormatting>
  <conditionalFormatting sqref="X41">
    <cfRule type="cellIs" dxfId="422" priority="3" stopIfTrue="1" operator="greaterThan">
      <formula>$V$41</formula>
    </cfRule>
  </conditionalFormatting>
  <conditionalFormatting sqref="Y41">
    <cfRule type="cellIs" dxfId="421" priority="12" stopIfTrue="1" operator="greaterThan">
      <formula>$AA$41</formula>
    </cfRule>
  </conditionalFormatting>
  <conditionalFormatting sqref="AA41">
    <cfRule type="cellIs" dxfId="420" priority="2" stopIfTrue="1" operator="greaterThan">
      <formula>$Y$41</formula>
    </cfRule>
  </conditionalFormatting>
  <hyperlinks>
    <hyperlink ref="R44" r:id="rId1" display="pabst@swissfaustball.ch" xr:uid="{00000000-0004-0000-21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11'!A5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11'!A15</f>
        <v>45798</v>
      </c>
      <c r="F6" s="1343"/>
      <c r="G6" s="1343"/>
      <c r="H6" s="1343"/>
      <c r="I6" s="1343"/>
      <c r="J6" s="1320" t="s">
        <v>324</v>
      </c>
      <c r="K6" s="1320"/>
      <c r="L6" s="1321">
        <f>'Aufgebot 11'!G15</f>
        <v>0.79166666666666663</v>
      </c>
      <c r="M6" s="1321"/>
      <c r="N6" s="1321"/>
      <c r="O6" s="1320" t="s">
        <v>323</v>
      </c>
      <c r="P6" s="1320"/>
      <c r="Q6" s="1320"/>
      <c r="R6" s="1320"/>
      <c r="S6" s="1409" t="str">
        <f>'Aufgebot 11'!L15</f>
        <v>Schlieren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11'!Y5</f>
        <v>11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11'!A8</f>
        <v>STV Schlieren ( NLB O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11'!O8</f>
        <v>FB Schwellbrunn ( NLB  O)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11'!A19&amp;" "&amp;'Aufgebot 11'!G19</f>
        <v>Patrick Burkhalter +41 78 824 40 11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11'!A9</f>
        <v>Andreas Fritschi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11'!$G$34&gt;0,1,"")</f>
        <v/>
      </c>
      <c r="H30" s="249" t="str">
        <f>IF('Aufgebot 11'!$G$34&gt;0,2,"")</f>
        <v/>
      </c>
      <c r="I30" s="249" t="str">
        <f>IF('Aufgebot 11'!$G$34=3,3,"")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11'!$G$34&gt;0,1,"")</f>
        <v/>
      </c>
      <c r="H32" s="249" t="str">
        <f>IF('Aufgebot 11'!$G$34&gt;0,2,"")</f>
        <v/>
      </c>
      <c r="I32" s="249" t="str">
        <f>IF('Aufgebot 11'!$G$34=3,3,"")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11'!$G$34&gt;0,1,"")</f>
        <v/>
      </c>
      <c r="H34" s="249" t="str">
        <f>IF('Aufgebot 11'!$G$34&gt;0,2,"")</f>
        <v/>
      </c>
      <c r="I34" s="249" t="str">
        <f>IF('Aufgebot 11'!$G$34=3,3,"")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11'!$G$34&gt;0,1,"")</f>
        <v/>
      </c>
      <c r="H36" s="249" t="str">
        <f>IF('Aufgebot 11'!$G$34&gt;0,2,"")</f>
        <v/>
      </c>
      <c r="I36" s="249" t="str">
        <f>IF('Aufgebot 11'!$G$34=3,3,"")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11'!$G$34&gt;0,1,"")</f>
        <v/>
      </c>
      <c r="H39" s="249" t="str">
        <f>IF('Aufgebot 11'!$G$34&gt;0,2,"")</f>
        <v/>
      </c>
      <c r="I39" s="249" t="str">
        <f>IF('Aufgebot 11'!$G$34=3,3,"")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11'!$G$34&gt;0,1,"")</f>
        <v/>
      </c>
      <c r="H41" s="249" t="str">
        <f>IF('Aufgebot 11'!$G$34&gt;0,2,"")</f>
        <v/>
      </c>
      <c r="I41" s="249" t="str">
        <f>IF('Aufgebot 11'!$G$34=3,3,"")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11'!$G$34&gt;0,1,"")</f>
        <v/>
      </c>
      <c r="H43" s="249" t="str">
        <f>IF('Aufgebot 11'!$G$34&gt;0,2,"")</f>
        <v/>
      </c>
      <c r="I43" s="249" t="str">
        <f>IF('Aufgebot 11'!$G$34=3,3,"")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11'!$G$34&gt;0,1,"")</f>
        <v/>
      </c>
      <c r="H45" s="249" t="str">
        <f>IF('Aufgebot 11'!$G$34&gt;0,2,"")</f>
        <v/>
      </c>
      <c r="I45" s="249" t="str">
        <f>IF('Aufgebot 11'!$G$34=3,3,"")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11'!$G$34&gt;0,1,"")</f>
        <v/>
      </c>
      <c r="H48" s="249" t="str">
        <f>IF('Aufgebot 11'!$G$34&gt;0,2,"")</f>
        <v/>
      </c>
      <c r="I48" s="249" t="str">
        <f>IF('Aufgebot 11'!$G$34=3,3,"")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42" customFormat="1" ht="16" customHeight="1">
      <c r="A50" s="1313" t="s">
        <v>127</v>
      </c>
      <c r="B50" s="1314"/>
      <c r="C50" s="1315"/>
      <c r="D50" s="1315"/>
      <c r="E50" s="1316"/>
      <c r="F50" s="64" t="s">
        <v>103</v>
      </c>
      <c r="G50" s="64"/>
      <c r="H50" s="65"/>
      <c r="I50" s="1312" t="s">
        <v>102</v>
      </c>
      <c r="J50" s="1290"/>
      <c r="K50" s="1291"/>
      <c r="L50" s="1289" t="s">
        <v>101</v>
      </c>
      <c r="M50" s="1290"/>
      <c r="N50" s="1291"/>
      <c r="O50" s="1289" t="s">
        <v>100</v>
      </c>
      <c r="P50" s="1290"/>
      <c r="Q50" s="1291"/>
      <c r="R50" s="1289" t="s">
        <v>99</v>
      </c>
      <c r="S50" s="1290"/>
      <c r="T50" s="1290"/>
      <c r="U50" s="1291"/>
      <c r="V50" s="1289" t="s">
        <v>98</v>
      </c>
      <c r="W50" s="1290"/>
      <c r="X50" s="1291"/>
      <c r="Y50" s="1289" t="s">
        <v>97</v>
      </c>
      <c r="Z50" s="1290"/>
      <c r="AA50" s="1290"/>
      <c r="AB50" s="1312" t="s">
        <v>96</v>
      </c>
      <c r="AC50" s="1290"/>
      <c r="AD50" s="1291"/>
      <c r="AE50" s="1289" t="s">
        <v>95</v>
      </c>
      <c r="AF50" s="1290"/>
      <c r="AG50" s="1291"/>
      <c r="AH50" s="1257"/>
      <c r="AI50" s="1257"/>
      <c r="AJ50" s="1258"/>
    </row>
    <row r="51" spans="1:36" ht="19" customHeight="1" thickBot="1">
      <c r="A51" s="1317"/>
      <c r="B51" s="1318"/>
      <c r="C51" s="1318"/>
      <c r="D51" s="1318"/>
      <c r="E51" s="1319"/>
      <c r="F51" s="66"/>
      <c r="G51" s="130" t="s">
        <v>3</v>
      </c>
      <c r="H51" s="131"/>
      <c r="I51" s="132"/>
      <c r="J51" s="130" t="s">
        <v>3</v>
      </c>
      <c r="K51" s="131"/>
      <c r="L51" s="132"/>
      <c r="M51" s="130" t="s">
        <v>3</v>
      </c>
      <c r="N51" s="131"/>
      <c r="O51" s="132"/>
      <c r="P51" s="130" t="s">
        <v>3</v>
      </c>
      <c r="Q51" s="131"/>
      <c r="R51" s="132"/>
      <c r="S51" s="130" t="s">
        <v>3</v>
      </c>
      <c r="T51" s="130"/>
      <c r="U51" s="131"/>
      <c r="V51" s="132"/>
      <c r="W51" s="130" t="s">
        <v>3</v>
      </c>
      <c r="X51" s="131"/>
      <c r="Y51" s="132"/>
      <c r="Z51" s="130" t="s">
        <v>3</v>
      </c>
      <c r="AA51" s="131"/>
      <c r="AB51" s="132"/>
      <c r="AC51" s="130" t="s">
        <v>3</v>
      </c>
      <c r="AD51" s="131"/>
      <c r="AE51" s="132"/>
      <c r="AF51" s="130" t="s">
        <v>3</v>
      </c>
      <c r="AG51" s="67"/>
      <c r="AH51" s="1259"/>
      <c r="AI51" s="1259"/>
      <c r="AJ51" s="1260"/>
    </row>
    <row r="52" spans="1:36" ht="19" customHeight="1">
      <c r="A52" s="1269" t="s">
        <v>94</v>
      </c>
      <c r="B52" s="1270"/>
      <c r="C52" s="1271"/>
      <c r="D52" s="1271"/>
      <c r="E52" s="1272"/>
      <c r="F52" s="68"/>
      <c r="G52" s="228"/>
      <c r="H52" s="69"/>
      <c r="I52" s="68"/>
      <c r="J52" s="228"/>
      <c r="K52" s="69"/>
      <c r="L52" s="68"/>
      <c r="M52" s="228"/>
      <c r="N52" s="69"/>
      <c r="O52" s="68"/>
      <c r="P52" s="228"/>
      <c r="Q52" s="69"/>
      <c r="R52" s="68"/>
      <c r="S52" s="228"/>
      <c r="T52" s="228"/>
      <c r="U52" s="69"/>
      <c r="V52" s="68"/>
      <c r="W52" s="228"/>
      <c r="X52" s="69"/>
      <c r="Y52" s="68"/>
      <c r="Z52" s="1282" t="s">
        <v>151</v>
      </c>
      <c r="AA52" s="1283"/>
      <c r="AB52" s="1283"/>
      <c r="AC52" s="1283"/>
      <c r="AD52" s="1284"/>
      <c r="AE52" s="1276" t="s">
        <v>128</v>
      </c>
      <c r="AF52" s="1277"/>
      <c r="AG52" s="1277"/>
      <c r="AH52" s="1277"/>
      <c r="AI52" s="1277"/>
      <c r="AJ52" s="1278"/>
    </row>
    <row r="53" spans="1:36" ht="19" customHeight="1" thickBot="1">
      <c r="A53" s="1273"/>
      <c r="B53" s="1274"/>
      <c r="C53" s="1274"/>
      <c r="D53" s="1274"/>
      <c r="E53" s="1275"/>
      <c r="F53" s="70"/>
      <c r="G53" s="71"/>
      <c r="H53" s="206"/>
      <c r="I53" s="70"/>
      <c r="J53" s="71"/>
      <c r="K53" s="206"/>
      <c r="L53" s="70"/>
      <c r="M53" s="71"/>
      <c r="N53" s="206"/>
      <c r="O53" s="70"/>
      <c r="P53" s="71"/>
      <c r="Q53" s="206"/>
      <c r="R53" s="70"/>
      <c r="S53" s="71"/>
      <c r="T53" s="71"/>
      <c r="U53" s="206"/>
      <c r="V53" s="70"/>
      <c r="W53" s="71"/>
      <c r="X53" s="206"/>
      <c r="Y53" s="70"/>
      <c r="Z53" s="1261" t="s">
        <v>3</v>
      </c>
      <c r="AA53" s="1262"/>
      <c r="AB53" s="1262"/>
      <c r="AC53" s="1262"/>
      <c r="AD53" s="1263"/>
      <c r="AE53" s="1279" t="s">
        <v>3</v>
      </c>
      <c r="AF53" s="1280"/>
      <c r="AG53" s="1280"/>
      <c r="AH53" s="1280"/>
      <c r="AI53" s="1280"/>
      <c r="AJ53" s="1281"/>
    </row>
    <row r="54" spans="1:36" ht="17.149999999999999" customHeight="1" thickBot="1">
      <c r="A54" s="1285" t="s">
        <v>129</v>
      </c>
      <c r="B54" s="1286"/>
      <c r="C54" s="1287"/>
      <c r="D54" s="1287"/>
      <c r="E54" s="1287"/>
      <c r="F54" s="1287"/>
      <c r="G54" s="1287"/>
      <c r="H54" s="1287"/>
      <c r="I54" s="1287"/>
      <c r="J54" s="1287"/>
      <c r="K54" s="1287"/>
      <c r="L54" s="1287"/>
      <c r="M54" s="1287"/>
      <c r="N54" s="1287"/>
      <c r="O54" s="1287"/>
      <c r="P54" s="1287"/>
      <c r="Q54" s="1287"/>
      <c r="R54" s="1287"/>
      <c r="S54" s="1287"/>
      <c r="T54" s="1287"/>
      <c r="U54" s="1287"/>
      <c r="V54" s="1287"/>
      <c r="W54" s="1287"/>
      <c r="X54" s="1287"/>
      <c r="Y54" s="1287"/>
      <c r="Z54" s="1287"/>
      <c r="AA54" s="1287"/>
      <c r="AB54" s="1287"/>
      <c r="AC54" s="1287"/>
      <c r="AD54" s="1287"/>
      <c r="AE54" s="1287"/>
      <c r="AF54" s="1287"/>
      <c r="AG54" s="1287"/>
      <c r="AH54" s="1287"/>
      <c r="AI54" s="1287"/>
      <c r="AJ54" s="1288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6" customHeight="1"/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4:AJ54"/>
    <mergeCell ref="A55:Q55"/>
    <mergeCell ref="R55:AJ55"/>
    <mergeCell ref="A56:Q56"/>
    <mergeCell ref="R56:AJ56"/>
    <mergeCell ref="A58:X60"/>
    <mergeCell ref="Y58:AD60"/>
    <mergeCell ref="AE58:AJ60"/>
    <mergeCell ref="AE50:AG50"/>
    <mergeCell ref="AH50:AJ51"/>
    <mergeCell ref="A52:E53"/>
    <mergeCell ref="Z52:AD52"/>
    <mergeCell ref="AE52:AJ52"/>
    <mergeCell ref="Z53:AD53"/>
    <mergeCell ref="AE53:AJ53"/>
    <mergeCell ref="L50:N50"/>
    <mergeCell ref="O50:Q50"/>
    <mergeCell ref="R50:U50"/>
    <mergeCell ref="V50:X50"/>
    <mergeCell ref="Y50:AA50"/>
    <mergeCell ref="AB50:AD50"/>
    <mergeCell ref="C36:C37"/>
    <mergeCell ref="D36:E37"/>
    <mergeCell ref="I50:K50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0:E51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12</v>
      </c>
      <c r="Z5" s="394"/>
      <c r="AA5" s="396"/>
      <c r="AC5" s="156"/>
      <c r="AD5" s="265"/>
      <c r="AE5" s="172"/>
    </row>
    <row r="6" spans="1:33" ht="9" customHeight="1" thickBot="1">
      <c r="A6" s="363">
        <f>Eigaben!F39</f>
        <v>44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Eigaben!G39</f>
        <v>57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Oberentfelden  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Kirchberg  ( NLB W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Christian Suter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Rudolf Nyffenegger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Aeppenhaldenstr 3b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Solothurnerstr 31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3422 Kirchberg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079 476 04 32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079 376 96 25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christian.suter@faustballcenter.ch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faustball@tvkirchberg.ch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Eigaben!C39</f>
        <v>12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45805</v>
      </c>
      <c r="B15" s="1199"/>
      <c r="C15" s="1199"/>
      <c r="D15" s="1199"/>
      <c r="E15" s="1199"/>
      <c r="F15" s="1199"/>
      <c r="G15" s="1194">
        <f>IF(Eigaben!C28=0,"",VLOOKUP(C13,Eigaben!$C$28:$V$110,14,0))</f>
        <v>0.8125</v>
      </c>
      <c r="H15" s="1194"/>
      <c r="I15" s="1194"/>
      <c r="J15" s="1194"/>
      <c r="K15" s="1194"/>
      <c r="L15" s="1195" t="str">
        <f>IF(Eigaben!C28=0,"",VLOOKUP(C13,Eigaben!$C$28:$V$1110,15,0))</f>
        <v>Oberentfelden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Erlenweg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Eigaben!T39</f>
        <v>61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Heinz Krautter</v>
      </c>
      <c r="B19" s="1362"/>
      <c r="C19" s="1362"/>
      <c r="D19" s="1362"/>
      <c r="E19" s="1362"/>
      <c r="F19" s="1363"/>
      <c r="G19" s="860" t="str">
        <f>IF(C16=0,"",VLOOKUP(C16,Schiri_25!A2:L181,9,1))</f>
        <v>+41 79 203 54 53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heinz@krautter.ch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Eigaben!V39</f>
        <v>17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Eigaben!S39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419" priority="20" stopIfTrue="1" operator="greaterThan">
      <formula>$C$41</formula>
    </cfRule>
  </conditionalFormatting>
  <conditionalFormatting sqref="C41">
    <cfRule type="cellIs" dxfId="418" priority="10" stopIfTrue="1" operator="greaterThan">
      <formula>$A$41</formula>
    </cfRule>
    <cfRule type="cellIs" dxfId="417" priority="11" stopIfTrue="1" operator="greaterThan">
      <formula>$A$41</formula>
    </cfRule>
  </conditionalFormatting>
  <conditionalFormatting sqref="D41">
    <cfRule type="cellIs" dxfId="416" priority="19" stopIfTrue="1" operator="greaterThan">
      <formula>$F$41</formula>
    </cfRule>
  </conditionalFormatting>
  <conditionalFormatting sqref="F41">
    <cfRule type="cellIs" dxfId="415" priority="9" stopIfTrue="1" operator="greaterThan">
      <formula>$D$41</formula>
    </cfRule>
  </conditionalFormatting>
  <conditionalFormatting sqref="G41">
    <cfRule type="cellIs" dxfId="414" priority="18" stopIfTrue="1" operator="greaterThan">
      <formula>$I$41</formula>
    </cfRule>
  </conditionalFormatting>
  <conditionalFormatting sqref="I41">
    <cfRule type="cellIs" dxfId="413" priority="8" stopIfTrue="1" operator="greaterThan">
      <formula>$G$41</formula>
    </cfRule>
  </conditionalFormatting>
  <conditionalFormatting sqref="J41">
    <cfRule type="cellIs" dxfId="412" priority="17" stopIfTrue="1" operator="greaterThan">
      <formula>$L$41</formula>
    </cfRule>
  </conditionalFormatting>
  <conditionalFormatting sqref="L41">
    <cfRule type="cellIs" dxfId="411" priority="7" stopIfTrue="1" operator="greaterThan">
      <formula>$J$41</formula>
    </cfRule>
  </conditionalFormatting>
  <conditionalFormatting sqref="M41">
    <cfRule type="cellIs" dxfId="410" priority="16" stopIfTrue="1" operator="greaterThan">
      <formula>$O$41</formula>
    </cfRule>
  </conditionalFormatting>
  <conditionalFormatting sqref="O41">
    <cfRule type="cellIs" dxfId="409" priority="6" stopIfTrue="1" operator="greaterThan">
      <formula>$M$41</formula>
    </cfRule>
  </conditionalFormatting>
  <conditionalFormatting sqref="P41">
    <cfRule type="cellIs" dxfId="408" priority="15" stopIfTrue="1" operator="greaterThan">
      <formula>$R$41</formula>
    </cfRule>
  </conditionalFormatting>
  <conditionalFormatting sqref="R41">
    <cfRule type="cellIs" dxfId="407" priority="5" stopIfTrue="1" operator="greaterThan">
      <formula>$P$41</formula>
    </cfRule>
  </conditionalFormatting>
  <conditionalFormatting sqref="S41">
    <cfRule type="cellIs" dxfId="406" priority="14" stopIfTrue="1" operator="greaterThan">
      <formula>$U$41</formula>
    </cfRule>
  </conditionalFormatting>
  <conditionalFormatting sqref="U41">
    <cfRule type="cellIs" dxfId="405" priority="1" stopIfTrue="1" operator="greaterThan">
      <formula>$S$41</formula>
    </cfRule>
    <cfRule type="cellIs" dxfId="404" priority="4" stopIfTrue="1" operator="greaterThan">
      <formula>$U$41</formula>
    </cfRule>
  </conditionalFormatting>
  <conditionalFormatting sqref="V41">
    <cfRule type="cellIs" dxfId="403" priority="13" stopIfTrue="1" operator="greaterThan">
      <formula>$X$41</formula>
    </cfRule>
  </conditionalFormatting>
  <conditionalFormatting sqref="X41">
    <cfRule type="cellIs" dxfId="402" priority="3" stopIfTrue="1" operator="greaterThan">
      <formula>$V$41</formula>
    </cfRule>
  </conditionalFormatting>
  <conditionalFormatting sqref="Y41">
    <cfRule type="cellIs" dxfId="401" priority="12" stopIfTrue="1" operator="greaterThan">
      <formula>$AA$41</formula>
    </cfRule>
  </conditionalFormatting>
  <conditionalFormatting sqref="AA41">
    <cfRule type="cellIs" dxfId="400" priority="2" stopIfTrue="1" operator="greaterThan">
      <formula>$Y$41</formula>
    </cfRule>
  </conditionalFormatting>
  <hyperlinks>
    <hyperlink ref="R45" r:id="rId1" display="pabst@swissfaustball.ch" xr:uid="{00000000-0004-0000-23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11"/>
  </sheetPr>
  <dimension ref="A1:AN59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12'!A5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12'!A15</f>
        <v>45805</v>
      </c>
      <c r="F6" s="1343"/>
      <c r="G6" s="1343"/>
      <c r="H6" s="1343"/>
      <c r="I6" s="1343"/>
      <c r="J6" s="1320" t="s">
        <v>324</v>
      </c>
      <c r="K6" s="1320"/>
      <c r="L6" s="1321">
        <f>'Aufgebot 12'!G15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12'!L15</f>
        <v>Oberentfelden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12'!Y5</f>
        <v>12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12'!A8</f>
        <v>STV Oberentfelden   ( 2. Liga )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12'!O8</f>
        <v>STV Kirchberg  ( NLB W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12'!A19&amp;" "&amp;'Aufgebot 12'!G19</f>
        <v>Heinz Krautter +41 79 203 54 53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12'!A9</f>
        <v>Christian Suter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12'!$G$34&gt;0,1,"")</f>
        <v>1</v>
      </c>
      <c r="H30" s="249">
        <f>IF('Aufgebot 12'!$G$34&gt;0,2,"")</f>
        <v>2</v>
      </c>
      <c r="I30" s="249">
        <f>IF('Aufgebot 12'!$G$34=3,3,"")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12'!$G$34&gt;0,1,"")</f>
        <v>1</v>
      </c>
      <c r="H32" s="249">
        <f>IF('Aufgebot 12'!$G$34&gt;0,2,"")</f>
        <v>2</v>
      </c>
      <c r="I32" s="249">
        <f>IF('Aufgebot 12'!$G$34=3,3,"")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12'!$G$34&gt;0,1,"")</f>
        <v>1</v>
      </c>
      <c r="H34" s="249">
        <f>IF('Aufgebot 12'!$G$34&gt;0,2,"")</f>
        <v>2</v>
      </c>
      <c r="I34" s="249">
        <f>IF('Aufgebot 12'!$G$34=3,3,"")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12'!$G$34&gt;0,1,"")</f>
        <v>1</v>
      </c>
      <c r="H36" s="249">
        <f>IF('Aufgebot 12'!$G$34&gt;0,2,"")</f>
        <v>2</v>
      </c>
      <c r="I36" s="249">
        <f>IF('Aufgebot 12'!$G$34=3,3,"")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12'!$G$34&gt;0,1,"")</f>
        <v>1</v>
      </c>
      <c r="H39" s="249">
        <f>IF('Aufgebot 12'!$G$34&gt;0,2,"")</f>
        <v>2</v>
      </c>
      <c r="I39" s="249">
        <f>IF('Aufgebot 12'!$G$34=3,3,"")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12'!$G$34&gt;0,1,"")</f>
        <v>1</v>
      </c>
      <c r="H41" s="249">
        <f>IF('Aufgebot 12'!$G$34&gt;0,2,"")</f>
        <v>2</v>
      </c>
      <c r="I41" s="249">
        <f>IF('Aufgebot 12'!$G$34=3,3,"")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12'!$G$34&gt;0,1,"")</f>
        <v>1</v>
      </c>
      <c r="H43" s="249">
        <f>IF('Aufgebot 12'!$G$34&gt;0,2,"")</f>
        <v>2</v>
      </c>
      <c r="I43" s="249">
        <f>IF('Aufgebot 12'!$G$34=3,3,"")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12'!$G$34&gt;0,1,"")</f>
        <v>1</v>
      </c>
      <c r="H45" s="249">
        <f>IF('Aufgebot 12'!$G$34&gt;0,2,"")</f>
        <v>2</v>
      </c>
      <c r="I45" s="249">
        <f>IF('Aufgebot 12'!$G$34=3,3,"")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12'!$G$34&gt;0,1,"")</f>
        <v>1</v>
      </c>
      <c r="H48" s="249">
        <f>IF('Aufgebot 12'!$G$34&gt;0,2,"")</f>
        <v>2</v>
      </c>
      <c r="I48" s="249">
        <f>IF('Aufgebot 12'!$G$34=3,3,"")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42" customFormat="1" ht="16" customHeight="1">
      <c r="A50" s="1313" t="s">
        <v>127</v>
      </c>
      <c r="B50" s="1314"/>
      <c r="C50" s="1315"/>
      <c r="D50" s="1315"/>
      <c r="E50" s="1316"/>
      <c r="F50" s="64" t="s">
        <v>103</v>
      </c>
      <c r="G50" s="64"/>
      <c r="H50" s="65"/>
      <c r="I50" s="1312" t="s">
        <v>102</v>
      </c>
      <c r="J50" s="1290"/>
      <c r="K50" s="1291"/>
      <c r="L50" s="1289" t="s">
        <v>101</v>
      </c>
      <c r="M50" s="1290"/>
      <c r="N50" s="1291"/>
      <c r="O50" s="1289" t="s">
        <v>100</v>
      </c>
      <c r="P50" s="1290"/>
      <c r="Q50" s="1291"/>
      <c r="R50" s="1289" t="s">
        <v>99</v>
      </c>
      <c r="S50" s="1290"/>
      <c r="T50" s="1290"/>
      <c r="U50" s="1291"/>
      <c r="V50" s="1289" t="s">
        <v>98</v>
      </c>
      <c r="W50" s="1290"/>
      <c r="X50" s="1291"/>
      <c r="Y50" s="1289" t="s">
        <v>97</v>
      </c>
      <c r="Z50" s="1290"/>
      <c r="AA50" s="1290"/>
      <c r="AB50" s="1312" t="s">
        <v>96</v>
      </c>
      <c r="AC50" s="1290"/>
      <c r="AD50" s="1291"/>
      <c r="AE50" s="1289" t="s">
        <v>95</v>
      </c>
      <c r="AF50" s="1290"/>
      <c r="AG50" s="1291"/>
      <c r="AH50" s="1257"/>
      <c r="AI50" s="1257"/>
      <c r="AJ50" s="1258"/>
    </row>
    <row r="51" spans="1:36" ht="19" customHeight="1" thickBot="1">
      <c r="A51" s="1317"/>
      <c r="B51" s="1318"/>
      <c r="C51" s="1318"/>
      <c r="D51" s="1318"/>
      <c r="E51" s="1319"/>
      <c r="F51" s="66"/>
      <c r="G51" s="130" t="s">
        <v>3</v>
      </c>
      <c r="H51" s="131"/>
      <c r="I51" s="132"/>
      <c r="J51" s="130" t="s">
        <v>3</v>
      </c>
      <c r="K51" s="131"/>
      <c r="L51" s="132"/>
      <c r="M51" s="130" t="s">
        <v>3</v>
      </c>
      <c r="N51" s="131"/>
      <c r="O51" s="132"/>
      <c r="P51" s="130" t="s">
        <v>3</v>
      </c>
      <c r="Q51" s="131"/>
      <c r="R51" s="132"/>
      <c r="S51" s="130" t="s">
        <v>3</v>
      </c>
      <c r="T51" s="130"/>
      <c r="U51" s="131"/>
      <c r="V51" s="132"/>
      <c r="W51" s="130" t="s">
        <v>3</v>
      </c>
      <c r="X51" s="131"/>
      <c r="Y51" s="132"/>
      <c r="Z51" s="130" t="s">
        <v>3</v>
      </c>
      <c r="AA51" s="131"/>
      <c r="AB51" s="132"/>
      <c r="AC51" s="130" t="s">
        <v>3</v>
      </c>
      <c r="AD51" s="131"/>
      <c r="AE51" s="132"/>
      <c r="AF51" s="130" t="s">
        <v>3</v>
      </c>
      <c r="AG51" s="67"/>
      <c r="AH51" s="1259"/>
      <c r="AI51" s="1259"/>
      <c r="AJ51" s="1260"/>
    </row>
    <row r="52" spans="1:36" ht="19" customHeight="1">
      <c r="A52" s="1269" t="s">
        <v>94</v>
      </c>
      <c r="B52" s="1270"/>
      <c r="C52" s="1271"/>
      <c r="D52" s="1271"/>
      <c r="E52" s="1272"/>
      <c r="F52" s="68"/>
      <c r="G52" s="228"/>
      <c r="H52" s="69"/>
      <c r="I52" s="68"/>
      <c r="J52" s="228"/>
      <c r="K52" s="69"/>
      <c r="L52" s="68"/>
      <c r="M52" s="228"/>
      <c r="N52" s="69"/>
      <c r="O52" s="68"/>
      <c r="P52" s="228"/>
      <c r="Q52" s="69"/>
      <c r="R52" s="68"/>
      <c r="S52" s="228"/>
      <c r="T52" s="228"/>
      <c r="U52" s="69"/>
      <c r="V52" s="68"/>
      <c r="W52" s="228"/>
      <c r="X52" s="69"/>
      <c r="Y52" s="68"/>
      <c r="Z52" s="1282" t="s">
        <v>151</v>
      </c>
      <c r="AA52" s="1283"/>
      <c r="AB52" s="1283"/>
      <c r="AC52" s="1283"/>
      <c r="AD52" s="1284"/>
      <c r="AE52" s="1276" t="s">
        <v>128</v>
      </c>
      <c r="AF52" s="1277"/>
      <c r="AG52" s="1277"/>
      <c r="AH52" s="1277"/>
      <c r="AI52" s="1277"/>
      <c r="AJ52" s="1278"/>
    </row>
    <row r="53" spans="1:36" ht="19" customHeight="1" thickBot="1">
      <c r="A53" s="1273"/>
      <c r="B53" s="1274"/>
      <c r="C53" s="1274"/>
      <c r="D53" s="1274"/>
      <c r="E53" s="1275"/>
      <c r="F53" s="70"/>
      <c r="G53" s="71"/>
      <c r="H53" s="206"/>
      <c r="I53" s="70"/>
      <c r="J53" s="71"/>
      <c r="K53" s="206"/>
      <c r="L53" s="70"/>
      <c r="M53" s="71"/>
      <c r="N53" s="206"/>
      <c r="O53" s="70"/>
      <c r="P53" s="71"/>
      <c r="Q53" s="206"/>
      <c r="R53" s="70"/>
      <c r="S53" s="71"/>
      <c r="T53" s="71"/>
      <c r="U53" s="206"/>
      <c r="V53" s="70"/>
      <c r="W53" s="71"/>
      <c r="X53" s="206"/>
      <c r="Y53" s="70"/>
      <c r="Z53" s="1261" t="s">
        <v>3</v>
      </c>
      <c r="AA53" s="1262"/>
      <c r="AB53" s="1262"/>
      <c r="AC53" s="1262"/>
      <c r="AD53" s="1263"/>
      <c r="AE53" s="1279" t="s">
        <v>3</v>
      </c>
      <c r="AF53" s="1280"/>
      <c r="AG53" s="1280"/>
      <c r="AH53" s="1280"/>
      <c r="AI53" s="1280"/>
      <c r="AJ53" s="1281"/>
    </row>
    <row r="54" spans="1:36" ht="17.149999999999999" customHeight="1" thickBot="1">
      <c r="A54" s="1285" t="s">
        <v>129</v>
      </c>
      <c r="B54" s="1286"/>
      <c r="C54" s="1287"/>
      <c r="D54" s="1287"/>
      <c r="E54" s="1287"/>
      <c r="F54" s="1287"/>
      <c r="G54" s="1287"/>
      <c r="H54" s="1287"/>
      <c r="I54" s="1287"/>
      <c r="J54" s="1287"/>
      <c r="K54" s="1287"/>
      <c r="L54" s="1287"/>
      <c r="M54" s="1287"/>
      <c r="N54" s="1287"/>
      <c r="O54" s="1287"/>
      <c r="P54" s="1287"/>
      <c r="Q54" s="1287"/>
      <c r="R54" s="1287"/>
      <c r="S54" s="1287"/>
      <c r="T54" s="1287"/>
      <c r="U54" s="1287"/>
      <c r="V54" s="1287"/>
      <c r="W54" s="1287"/>
      <c r="X54" s="1287"/>
      <c r="Y54" s="1287"/>
      <c r="Z54" s="1287"/>
      <c r="AA54" s="1287"/>
      <c r="AB54" s="1287"/>
      <c r="AC54" s="1287"/>
      <c r="AD54" s="1287"/>
      <c r="AE54" s="1287"/>
      <c r="AF54" s="1287"/>
      <c r="AG54" s="1287"/>
      <c r="AH54" s="1287"/>
      <c r="AI54" s="1287"/>
      <c r="AJ54" s="1288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14.25" customHeight="1">
      <c r="A57" s="1248" t="s">
        <v>246</v>
      </c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1250"/>
      <c r="Y57" s="1239" t="s">
        <v>342</v>
      </c>
      <c r="Z57" s="1240"/>
      <c r="AA57" s="1240"/>
      <c r="AB57" s="1240"/>
      <c r="AC57" s="1240"/>
      <c r="AD57" s="1241"/>
      <c r="AE57" s="1230">
        <f ca="1">TODAY()</f>
        <v>45897</v>
      </c>
      <c r="AF57" s="1231"/>
      <c r="AG57" s="1231"/>
      <c r="AH57" s="1231"/>
      <c r="AI57" s="1231"/>
      <c r="AJ57" s="1232"/>
    </row>
    <row r="58" spans="1:36" ht="12.75" customHeight="1">
      <c r="A58" s="1251"/>
      <c r="B58" s="1252"/>
      <c r="C58" s="1252"/>
      <c r="D58" s="1252"/>
      <c r="E58" s="1252"/>
      <c r="F58" s="1252"/>
      <c r="G58" s="1252"/>
      <c r="H58" s="1252"/>
      <c r="I58" s="1252"/>
      <c r="J58" s="1252"/>
      <c r="K58" s="1252"/>
      <c r="L58" s="1252"/>
      <c r="M58" s="1252"/>
      <c r="N58" s="1252"/>
      <c r="O58" s="1252"/>
      <c r="P58" s="1252"/>
      <c r="Q58" s="1252"/>
      <c r="R58" s="1252"/>
      <c r="S58" s="1252"/>
      <c r="T58" s="1252"/>
      <c r="U58" s="1252"/>
      <c r="V58" s="1252"/>
      <c r="W58" s="1252"/>
      <c r="X58" s="1253"/>
      <c r="Y58" s="1242"/>
      <c r="Z58" s="1243"/>
      <c r="AA58" s="1243"/>
      <c r="AB58" s="1243"/>
      <c r="AC58" s="1243"/>
      <c r="AD58" s="1244"/>
      <c r="AE58" s="1233"/>
      <c r="AF58" s="1234"/>
      <c r="AG58" s="1234"/>
      <c r="AH58" s="1234"/>
      <c r="AI58" s="1234"/>
      <c r="AJ58" s="1235"/>
    </row>
    <row r="59" spans="1:36" ht="18" customHeight="1">
      <c r="A59" s="1254"/>
      <c r="B59" s="1255"/>
      <c r="C59" s="1255"/>
      <c r="D59" s="1255"/>
      <c r="E59" s="1255"/>
      <c r="F59" s="1255"/>
      <c r="G59" s="1255"/>
      <c r="H59" s="1255"/>
      <c r="I59" s="1255"/>
      <c r="J59" s="1255"/>
      <c r="K59" s="1255"/>
      <c r="L59" s="1255"/>
      <c r="M59" s="1255"/>
      <c r="N59" s="1255"/>
      <c r="O59" s="1255"/>
      <c r="P59" s="1255"/>
      <c r="Q59" s="1255"/>
      <c r="R59" s="1255"/>
      <c r="S59" s="1255"/>
      <c r="T59" s="1255"/>
      <c r="U59" s="1255"/>
      <c r="V59" s="1255"/>
      <c r="W59" s="1255"/>
      <c r="X59" s="1256"/>
      <c r="Y59" s="1245"/>
      <c r="Z59" s="1246"/>
      <c r="AA59" s="1246"/>
      <c r="AB59" s="1246"/>
      <c r="AC59" s="1246"/>
      <c r="AD59" s="1247"/>
      <c r="AE59" s="1236"/>
      <c r="AF59" s="1237"/>
      <c r="AG59" s="1237"/>
      <c r="AH59" s="1237"/>
      <c r="AI59" s="1237"/>
      <c r="AJ59" s="1238"/>
    </row>
  </sheetData>
  <mergeCells count="89">
    <mergeCell ref="A54:AJ54"/>
    <mergeCell ref="A55:Q55"/>
    <mergeCell ref="R55:AJ55"/>
    <mergeCell ref="A56:Q56"/>
    <mergeCell ref="R56:AJ56"/>
    <mergeCell ref="A57:X59"/>
    <mergeCell ref="Y57:AD59"/>
    <mergeCell ref="AE57:AJ59"/>
    <mergeCell ref="AE50:AG50"/>
    <mergeCell ref="AH50:AJ51"/>
    <mergeCell ref="A52:E53"/>
    <mergeCell ref="Z52:AD52"/>
    <mergeCell ref="AE52:AJ52"/>
    <mergeCell ref="Z53:AD53"/>
    <mergeCell ref="AE53:AJ53"/>
    <mergeCell ref="L50:N50"/>
    <mergeCell ref="O50:Q50"/>
    <mergeCell ref="R50:U50"/>
    <mergeCell ref="V50:X50"/>
    <mergeCell ref="Y50:AA50"/>
    <mergeCell ref="AB50:AD50"/>
    <mergeCell ref="C36:C37"/>
    <mergeCell ref="D36:E37"/>
    <mergeCell ref="I50:K50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0:E51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13</v>
      </c>
      <c r="Z5" s="394"/>
      <c r="AA5" s="396"/>
      <c r="AC5" s="156"/>
      <c r="AD5" s="265"/>
      <c r="AE5" s="172"/>
    </row>
    <row r="6" spans="1:33" ht="9" customHeight="1" thickBot="1">
      <c r="A6" s="363">
        <f>Eigaben!F40</f>
        <v>48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Eigaben!G40</f>
        <v>61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Alpnach  ( 1. Liga ) W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Schlossrued ( NLB W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Kasper Tobias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Michael Hochuli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Schneggenhubel 5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6064 Kerns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Gartenstr 4a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5043 Holzikon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079 713 39 48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079 607 23 24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m.bucher@hs-team.ch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michi_ho1997@hotmail.com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Eigaben!C40</f>
        <v>13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45813</v>
      </c>
      <c r="B15" s="1199"/>
      <c r="C15" s="1199"/>
      <c r="D15" s="1199"/>
      <c r="E15" s="1199"/>
      <c r="F15" s="1199"/>
      <c r="G15" s="1194">
        <f>IF(Eigaben!C28=0,"",VLOOKUP(C13,Eigaben!$C$28:$V$110,14,0))</f>
        <v>0.8125</v>
      </c>
      <c r="H15" s="1194"/>
      <c r="I15" s="1194"/>
      <c r="J15" s="1194"/>
      <c r="K15" s="1194"/>
      <c r="L15" s="1195" t="str">
        <f>IF(Eigaben!C28=0,"",VLOOKUP(C13,Eigaben!$C$28:$V$1110,15,0))</f>
        <v>Aalpnach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Sportplatz Giswil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Eigaben!T40</f>
        <v>73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Valon Shabanaj</v>
      </c>
      <c r="B19" s="1362"/>
      <c r="C19" s="1362"/>
      <c r="D19" s="1362"/>
      <c r="E19" s="1362"/>
      <c r="F19" s="1363"/>
      <c r="G19" s="860" t="str">
        <f>IF(C16=0,"",VLOOKUP(C16,Schiri_25!A2:L181,9,1))</f>
        <v>+41 79 460 34 25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valon.shabanaj@outlook.com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Eigaben!V40</f>
        <v>30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Eigaben!S40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99" priority="20" stopIfTrue="1" operator="greaterThan">
      <formula>$C$41</formula>
    </cfRule>
  </conditionalFormatting>
  <conditionalFormatting sqref="C41">
    <cfRule type="cellIs" dxfId="398" priority="10" stopIfTrue="1" operator="greaterThan">
      <formula>$A$41</formula>
    </cfRule>
    <cfRule type="cellIs" dxfId="397" priority="11" stopIfTrue="1" operator="greaterThan">
      <formula>$A$41</formula>
    </cfRule>
  </conditionalFormatting>
  <conditionalFormatting sqref="D41">
    <cfRule type="cellIs" dxfId="396" priority="19" stopIfTrue="1" operator="greaterThan">
      <formula>$F$41</formula>
    </cfRule>
  </conditionalFormatting>
  <conditionalFormatting sqref="F41">
    <cfRule type="cellIs" dxfId="395" priority="9" stopIfTrue="1" operator="greaterThan">
      <formula>$D$41</formula>
    </cfRule>
  </conditionalFormatting>
  <conditionalFormatting sqref="G41">
    <cfRule type="cellIs" dxfId="394" priority="18" stopIfTrue="1" operator="greaterThan">
      <formula>$I$41</formula>
    </cfRule>
  </conditionalFormatting>
  <conditionalFormatting sqref="I41">
    <cfRule type="cellIs" dxfId="393" priority="8" stopIfTrue="1" operator="greaterThan">
      <formula>$G$41</formula>
    </cfRule>
  </conditionalFormatting>
  <conditionalFormatting sqref="J41">
    <cfRule type="cellIs" dxfId="392" priority="17" stopIfTrue="1" operator="greaterThan">
      <formula>$L$41</formula>
    </cfRule>
  </conditionalFormatting>
  <conditionalFormatting sqref="L41">
    <cfRule type="cellIs" dxfId="391" priority="7" stopIfTrue="1" operator="greaterThan">
      <formula>$J$41</formula>
    </cfRule>
  </conditionalFormatting>
  <conditionalFormatting sqref="M41">
    <cfRule type="cellIs" dxfId="390" priority="16" stopIfTrue="1" operator="greaterThan">
      <formula>$O$41</formula>
    </cfRule>
  </conditionalFormatting>
  <conditionalFormatting sqref="O41">
    <cfRule type="cellIs" dxfId="389" priority="6" stopIfTrue="1" operator="greaterThan">
      <formula>$M$41</formula>
    </cfRule>
  </conditionalFormatting>
  <conditionalFormatting sqref="P41">
    <cfRule type="cellIs" dxfId="388" priority="15" stopIfTrue="1" operator="greaterThan">
      <formula>$R$41</formula>
    </cfRule>
  </conditionalFormatting>
  <conditionalFormatting sqref="R41">
    <cfRule type="cellIs" dxfId="387" priority="5" stopIfTrue="1" operator="greaterThan">
      <formula>$P$41</formula>
    </cfRule>
  </conditionalFormatting>
  <conditionalFormatting sqref="S41">
    <cfRule type="cellIs" dxfId="386" priority="14" stopIfTrue="1" operator="greaterThan">
      <formula>$U$41</formula>
    </cfRule>
  </conditionalFormatting>
  <conditionalFormatting sqref="U41">
    <cfRule type="cellIs" dxfId="385" priority="1" stopIfTrue="1" operator="greaterThan">
      <formula>$S$41</formula>
    </cfRule>
    <cfRule type="cellIs" dxfId="384" priority="4" stopIfTrue="1" operator="greaterThan">
      <formula>$U$41</formula>
    </cfRule>
  </conditionalFormatting>
  <conditionalFormatting sqref="V41">
    <cfRule type="cellIs" dxfId="383" priority="13" stopIfTrue="1" operator="greaterThan">
      <formula>$X$41</formula>
    </cfRule>
  </conditionalFormatting>
  <conditionalFormatting sqref="X41">
    <cfRule type="cellIs" dxfId="382" priority="3" stopIfTrue="1" operator="greaterThan">
      <formula>$V$41</formula>
    </cfRule>
  </conditionalFormatting>
  <conditionalFormatting sqref="Y41">
    <cfRule type="cellIs" dxfId="381" priority="12" stopIfTrue="1" operator="greaterThan">
      <formula>$AA$41</formula>
    </cfRule>
  </conditionalFormatting>
  <conditionalFormatting sqref="AA41">
    <cfRule type="cellIs" dxfId="380" priority="2" stopIfTrue="1" operator="greaterThan">
      <formula>$Y$41</formula>
    </cfRule>
  </conditionalFormatting>
  <hyperlinks>
    <hyperlink ref="R45" r:id="rId1" display="pabst@swissfaustball.ch" xr:uid="{00000000-0004-0000-25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08"/>
  <sheetViews>
    <sheetView tabSelected="1" workbookViewId="0">
      <selection activeCell="C22" sqref="C22:E23"/>
    </sheetView>
  </sheetViews>
  <sheetFormatPr baseColWidth="10" defaultColWidth="10.81640625" defaultRowHeight="15.5"/>
  <cols>
    <col min="1" max="1" width="3.7265625" style="156" customWidth="1"/>
    <col min="2" max="2" width="2.7265625" hidden="1" customWidth="1"/>
    <col min="3" max="3" width="19.26953125" customWidth="1"/>
    <col min="4" max="4" width="2.7265625" customWidth="1"/>
    <col min="5" max="5" width="16.81640625" customWidth="1"/>
    <col min="6" max="6" width="4.7265625" style="20" customWidth="1"/>
    <col min="7" max="7" width="3.6328125" style="263" customWidth="1"/>
    <col min="8" max="8" width="4.7265625" hidden="1" customWidth="1"/>
    <col min="9" max="9" width="16.81640625" customWidth="1"/>
    <col min="10" max="10" width="2.7265625" customWidth="1"/>
    <col min="11" max="11" width="16.81640625" customWidth="1"/>
    <col min="12" max="12" width="4.7265625" style="20" customWidth="1"/>
    <col min="13" max="13" width="2.7265625" customWidth="1"/>
    <col min="14" max="14" width="3.26953125" customWidth="1"/>
    <col min="15" max="15" width="3.54296875" style="321" customWidth="1"/>
    <col min="16" max="16" width="16.81640625" customWidth="1"/>
    <col min="17" max="17" width="2.7265625" customWidth="1"/>
    <col min="18" max="18" width="16.81640625" customWidth="1"/>
    <col min="19" max="19" width="4.7265625" style="330" customWidth="1"/>
    <col min="20" max="20" width="2.7265625" customWidth="1"/>
    <col min="21" max="21" width="3.26953125" customWidth="1"/>
    <col min="22" max="22" width="3.7265625" style="170" customWidth="1"/>
    <col min="23" max="23" width="16.81640625" style="2" customWidth="1"/>
    <col min="24" max="24" width="2.7265625" style="2" customWidth="1"/>
    <col min="25" max="25" width="16.81640625" style="2" customWidth="1"/>
    <col min="26" max="26" width="3.7265625" customWidth="1"/>
    <col min="27" max="27" width="2.7265625" customWidth="1"/>
    <col min="28" max="28" width="2" customWidth="1"/>
    <col min="29" max="29" width="4.1796875" style="321" customWidth="1"/>
    <col min="30" max="30" width="16.81640625" customWidth="1"/>
    <col min="31" max="31" width="2.7265625" customWidth="1"/>
    <col min="32" max="32" width="16.81640625" customWidth="1"/>
    <col min="33" max="33" width="4.453125" customWidth="1"/>
    <col min="34" max="34" width="4.7265625" customWidth="1"/>
    <col min="35" max="51" width="3.7265625" customWidth="1"/>
  </cols>
  <sheetData>
    <row r="1" spans="1:35" ht="21.75" customHeight="1">
      <c r="A1" s="1014" t="str">
        <f>Eigaben!Z3</f>
        <v>37. Schweizer Cup Männer 2025</v>
      </c>
      <c r="B1" s="1014"/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  <c r="O1" s="1014"/>
      <c r="P1" s="1014"/>
      <c r="Q1" s="1014"/>
      <c r="R1" s="1014"/>
      <c r="S1" s="1014"/>
      <c r="T1" s="1014"/>
      <c r="U1" s="1014"/>
      <c r="V1" s="1014"/>
      <c r="W1" s="1014"/>
      <c r="X1" s="1014"/>
      <c r="Y1" s="1014"/>
      <c r="Z1" s="1014"/>
      <c r="AA1" s="1014"/>
      <c r="AB1" s="1014"/>
      <c r="AC1" s="1014"/>
      <c r="AD1" s="1014"/>
      <c r="AE1" s="350"/>
      <c r="AF1" s="182" t="s">
        <v>646</v>
      </c>
      <c r="AG1" s="328"/>
      <c r="AH1" s="328"/>
      <c r="AI1" s="328"/>
    </row>
    <row r="2" spans="1:35" ht="21.75" customHeight="1">
      <c r="A2" s="329"/>
      <c r="B2" s="329"/>
      <c r="C2" s="329"/>
      <c r="D2" s="329"/>
      <c r="E2" s="329"/>
      <c r="F2" s="329"/>
      <c r="G2" s="322"/>
      <c r="H2" s="329"/>
      <c r="I2" s="329"/>
      <c r="J2" s="329"/>
    </row>
    <row r="3" spans="1:35" ht="27" customHeight="1">
      <c r="A3" s="329"/>
      <c r="B3" s="329"/>
      <c r="C3" s="329"/>
      <c r="D3" s="329"/>
      <c r="E3" s="329"/>
      <c r="F3" s="329"/>
      <c r="G3" s="322"/>
      <c r="H3" s="329"/>
      <c r="I3" s="329"/>
      <c r="J3" s="329"/>
    </row>
    <row r="4" spans="1:35" ht="19.5" customHeight="1">
      <c r="A4" s="331"/>
      <c r="B4" s="1015">
        <f>Eigaben!Z8</f>
        <v>45754</v>
      </c>
      <c r="C4" s="1015"/>
      <c r="D4" s="812" t="s">
        <v>654</v>
      </c>
      <c r="E4" s="1009">
        <f>Eigaben!AA8</f>
        <v>45772</v>
      </c>
      <c r="F4" s="1009"/>
      <c r="G4" s="811"/>
      <c r="H4" s="811"/>
      <c r="I4" s="813" t="s">
        <v>1123</v>
      </c>
      <c r="J4" s="811" t="s">
        <v>654</v>
      </c>
      <c r="K4" s="1009">
        <f>Eigaben!AA9</f>
        <v>45821</v>
      </c>
      <c r="L4" s="1009"/>
      <c r="M4" s="172"/>
      <c r="N4" s="172"/>
      <c r="O4" s="1016">
        <f>Eigaben!Z10</f>
        <v>45831</v>
      </c>
      <c r="P4" s="1016"/>
      <c r="Q4" s="811" t="s">
        <v>654</v>
      </c>
      <c r="R4" s="1009">
        <f>Eigaben!AA10</f>
        <v>45856</v>
      </c>
      <c r="S4" s="1009"/>
      <c r="T4" s="172"/>
      <c r="U4" s="172"/>
      <c r="V4" s="1016">
        <f>Eigaben!Z11</f>
        <v>45866</v>
      </c>
      <c r="W4" s="1016"/>
      <c r="X4" s="811" t="s">
        <v>654</v>
      </c>
      <c r="Y4" s="1009">
        <f>Eigaben!AA11</f>
        <v>45884</v>
      </c>
      <c r="Z4" s="1009"/>
      <c r="AA4" s="172"/>
      <c r="AB4" s="172"/>
      <c r="AC4" s="1016">
        <f>Eigaben!Z12</f>
        <v>45887</v>
      </c>
      <c r="AD4" s="1016"/>
      <c r="AE4" s="811" t="s">
        <v>654</v>
      </c>
      <c r="AF4" s="1009">
        <f>Eigaben!AA12</f>
        <v>45905</v>
      </c>
      <c r="AG4" s="1009"/>
      <c r="AH4" s="179"/>
    </row>
    <row r="5" spans="1:35" ht="17.25" customHeight="1">
      <c r="A5" s="322"/>
      <c r="B5" s="322"/>
      <c r="C5" s="323" t="s">
        <v>612</v>
      </c>
      <c r="D5" s="323"/>
      <c r="F5" s="323"/>
      <c r="G5" s="397"/>
      <c r="H5" s="323"/>
      <c r="I5" s="1010" t="s">
        <v>647</v>
      </c>
      <c r="J5" s="1010"/>
      <c r="K5" s="1010"/>
      <c r="L5" s="323"/>
      <c r="M5" s="323"/>
      <c r="N5" s="323"/>
      <c r="O5" s="156"/>
      <c r="P5" s="323" t="s">
        <v>648</v>
      </c>
      <c r="Q5" s="323"/>
      <c r="R5" s="323"/>
      <c r="S5" s="156"/>
      <c r="T5" s="323"/>
      <c r="U5" s="323"/>
      <c r="V5" s="323"/>
      <c r="W5" s="334" t="s">
        <v>649</v>
      </c>
      <c r="X5" s="334"/>
      <c r="Y5" s="334"/>
      <c r="Z5" s="323"/>
      <c r="AA5" s="323"/>
      <c r="AB5" s="323"/>
      <c r="AC5" s="156"/>
      <c r="AD5" s="323" t="s">
        <v>650</v>
      </c>
      <c r="AE5" s="323"/>
      <c r="AF5" s="323"/>
      <c r="AG5" s="20"/>
      <c r="AH5" s="20"/>
    </row>
    <row r="6" spans="1:35" ht="5.25" customHeight="1">
      <c r="A6" s="321"/>
      <c r="B6" s="20"/>
      <c r="C6" s="1019" t="s">
        <v>1306</v>
      </c>
      <c r="D6" s="1019"/>
      <c r="E6" s="1019"/>
      <c r="H6" s="20"/>
      <c r="I6" s="1012" t="str">
        <f>zusammenfassung_25!H4</f>
        <v xml:space="preserve"> 6:11/ 15:14/11: 9/ 11: 8/ 4:11/ 9:11/ 4:11/ 11: 8/ 7:11</v>
      </c>
      <c r="J6" s="1012"/>
      <c r="K6" s="1012"/>
      <c r="M6" s="20"/>
      <c r="N6" s="20"/>
      <c r="P6" s="20"/>
      <c r="Q6" s="20"/>
      <c r="R6" s="20"/>
      <c r="T6" s="20"/>
      <c r="U6" s="20"/>
      <c r="W6" s="319"/>
      <c r="X6" s="319"/>
      <c r="Y6" s="319"/>
      <c r="Z6" s="20"/>
      <c r="AA6" s="20"/>
      <c r="AB6" s="20"/>
      <c r="AD6" s="20"/>
      <c r="AE6" s="20"/>
      <c r="AF6" s="20"/>
      <c r="AG6" s="20"/>
      <c r="AH6" s="20"/>
    </row>
    <row r="7" spans="1:35" ht="10" customHeight="1" thickBot="1">
      <c r="A7" s="321"/>
      <c r="B7" s="20"/>
      <c r="C7" s="1018"/>
      <c r="D7" s="1018"/>
      <c r="E7" s="1018"/>
      <c r="H7" s="20"/>
      <c r="I7" s="1013"/>
      <c r="J7" s="1013"/>
      <c r="K7" s="1013"/>
      <c r="L7" s="843"/>
      <c r="M7" s="20"/>
      <c r="N7" s="20"/>
      <c r="P7" s="20"/>
      <c r="Q7" s="20"/>
      <c r="R7" s="20"/>
      <c r="T7" s="20"/>
      <c r="U7" s="20"/>
      <c r="W7" s="319"/>
      <c r="X7" s="319"/>
      <c r="Y7" s="319"/>
      <c r="Z7" s="20"/>
      <c r="AA7" s="20"/>
      <c r="AB7" s="20"/>
      <c r="AD7" s="20"/>
      <c r="AE7" s="20"/>
      <c r="AF7" s="20"/>
      <c r="AG7" s="20"/>
      <c r="AH7" s="20"/>
    </row>
    <row r="8" spans="1:35" ht="8.15" customHeight="1">
      <c r="A8" s="962" t="s">
        <v>1</v>
      </c>
      <c r="B8" s="1028">
        <v>45</v>
      </c>
      <c r="C8" s="898" t="str">
        <f>IF(B8=0," ",VLOOKUP(B8,Eigaben!$Y$54:$Z$97,2))</f>
        <v>STV Töss ( 2. Liga )</v>
      </c>
      <c r="D8" s="900"/>
      <c r="E8" s="900"/>
      <c r="F8" s="970">
        <f>zusammenfassung_25!F4</f>
        <v>4</v>
      </c>
      <c r="G8" s="962">
        <v>1</v>
      </c>
      <c r="H8" s="947">
        <f>Eigaben!F28</f>
        <v>56</v>
      </c>
      <c r="I8" s="898" t="str">
        <f>IF(H8=0," ",VLOOKUP($H8,Eigaben!$Y$17:$Z$94,2,1))</f>
        <v>TSV Jona 1( NLB O )</v>
      </c>
      <c r="J8" s="900"/>
      <c r="K8" s="900"/>
      <c r="L8" s="936">
        <f>Eigaben!L28</f>
        <v>5</v>
      </c>
      <c r="M8" s="884"/>
      <c r="N8" s="34"/>
      <c r="P8" s="34"/>
      <c r="Q8" s="34"/>
      <c r="R8" s="34"/>
      <c r="T8" s="34"/>
      <c r="U8" s="34"/>
      <c r="W8" s="335"/>
      <c r="X8" s="335"/>
      <c r="Y8" s="335"/>
      <c r="Z8" s="34"/>
      <c r="AA8" s="34"/>
      <c r="AB8" s="34"/>
      <c r="AD8" s="34"/>
      <c r="AE8" s="34"/>
      <c r="AF8" s="34"/>
      <c r="AG8" s="34"/>
      <c r="AH8" s="20"/>
    </row>
    <row r="9" spans="1:35" ht="8.15" customHeight="1" thickBot="1">
      <c r="A9" s="962"/>
      <c r="B9" s="1028"/>
      <c r="C9" s="1003"/>
      <c r="D9" s="1004"/>
      <c r="E9" s="1004"/>
      <c r="F9" s="971"/>
      <c r="G9" s="962"/>
      <c r="H9" s="947"/>
      <c r="I9" s="990"/>
      <c r="J9" s="991"/>
      <c r="K9" s="991"/>
      <c r="L9" s="1011"/>
      <c r="M9" s="885"/>
      <c r="N9" s="34"/>
      <c r="P9" s="1022" t="str">
        <f>zusammenfassung_25!H31</f>
        <v>11: 8/11: 7/ 7:11/11: 7/11: 6/13:11</v>
      </c>
      <c r="Q9" s="1022"/>
      <c r="R9" s="1022"/>
      <c r="S9" s="1022"/>
      <c r="T9" s="34"/>
      <c r="U9" s="34"/>
      <c r="W9" s="335"/>
      <c r="X9" s="335"/>
      <c r="Y9" s="335"/>
      <c r="Z9" s="34"/>
      <c r="AA9" s="34"/>
      <c r="AB9" s="34"/>
      <c r="AD9" s="34"/>
      <c r="AE9" s="34"/>
      <c r="AF9" s="34"/>
      <c r="AG9" s="34"/>
      <c r="AH9" s="20"/>
    </row>
    <row r="10" spans="1:35" ht="8.15" customHeight="1" thickBot="1">
      <c r="A10" s="962"/>
      <c r="B10" s="1028">
        <v>46</v>
      </c>
      <c r="C10" s="999" t="str">
        <f>IF(B10=0," ",VLOOKUP(B10,Eigaben!$Y$54:$Z$97,2))</f>
        <v>SUS Widnau   ( 2. Liga F )</v>
      </c>
      <c r="D10" s="1000"/>
      <c r="E10" s="1000"/>
      <c r="F10" s="1031">
        <f>zusammenfassung_25!G4</f>
        <v>5</v>
      </c>
      <c r="G10" s="962"/>
      <c r="H10" s="947">
        <f>Eigaben!G28</f>
        <v>71</v>
      </c>
      <c r="I10" s="990" t="str">
        <f>IF(H10=0," ",VLOOKUP($H10,Eigaben!$Y$17:$Z$94,2,1))</f>
        <v>STV Wigoltingen   ( NLA )</v>
      </c>
      <c r="J10" s="991"/>
      <c r="K10" s="991"/>
      <c r="L10" s="936">
        <f>Eigaben!N28</f>
        <v>2</v>
      </c>
      <c r="M10" s="1024"/>
      <c r="N10" s="336"/>
      <c r="P10" s="1023"/>
      <c r="Q10" s="1023"/>
      <c r="R10" s="1023"/>
      <c r="S10" s="1023"/>
      <c r="T10" s="34"/>
      <c r="U10" s="34"/>
      <c r="W10" s="335"/>
      <c r="X10" s="335"/>
      <c r="Y10" s="335"/>
      <c r="Z10" s="34"/>
      <c r="AA10" s="34"/>
      <c r="AB10" s="34"/>
      <c r="AD10" s="34"/>
      <c r="AE10" s="34"/>
      <c r="AF10" s="34"/>
      <c r="AG10" s="34"/>
      <c r="AH10" s="20"/>
    </row>
    <row r="11" spans="1:35" ht="8.15" customHeight="1" thickBot="1">
      <c r="A11" s="962"/>
      <c r="B11" s="1028"/>
      <c r="C11" s="1029"/>
      <c r="D11" s="1030"/>
      <c r="E11" s="1030"/>
      <c r="F11" s="975"/>
      <c r="G11" s="962"/>
      <c r="H11" s="947"/>
      <c r="I11" s="1029"/>
      <c r="J11" s="1030"/>
      <c r="K11" s="1030"/>
      <c r="L11" s="922"/>
      <c r="M11" s="947"/>
      <c r="N11" s="337"/>
      <c r="O11" s="923">
        <v>17</v>
      </c>
      <c r="P11" s="887" t="str">
        <f>IF($L8=$L10," ",IF($L8&gt;$L10,$I8,$I10))</f>
        <v>TSV Jona 1( NLB O )</v>
      </c>
      <c r="Q11" s="888"/>
      <c r="R11" s="889"/>
      <c r="S11" s="893">
        <f>Eigaben!L28</f>
        <v>5</v>
      </c>
      <c r="T11" s="896" t="s">
        <v>620</v>
      </c>
      <c r="U11" s="34"/>
      <c r="W11" s="335"/>
      <c r="X11" s="335"/>
      <c r="Y11" s="335"/>
      <c r="Z11" s="34"/>
      <c r="AA11" s="34"/>
      <c r="AB11" s="34"/>
      <c r="AD11" s="34"/>
      <c r="AE11" s="34"/>
      <c r="AF11" s="34"/>
      <c r="AG11" s="34"/>
      <c r="AH11" s="20"/>
    </row>
    <row r="12" spans="1:35" ht="10" customHeight="1" thickBot="1">
      <c r="A12" s="321"/>
      <c r="B12" s="34"/>
      <c r="C12" s="880" t="str">
        <f>zusammenfassung_25!H5</f>
        <v>11: 9/ 11: 8/ 11:5/ 14:12/ 11:08</v>
      </c>
      <c r="D12" s="880"/>
      <c r="E12" s="880"/>
      <c r="F12" s="34"/>
      <c r="G12" s="321"/>
      <c r="H12" s="34"/>
      <c r="I12" s="880" t="s">
        <v>1346</v>
      </c>
      <c r="J12" s="880"/>
      <c r="K12" s="880"/>
      <c r="L12" s="182"/>
      <c r="M12" s="34"/>
      <c r="N12" s="34"/>
      <c r="O12" s="923"/>
      <c r="P12" s="890"/>
      <c r="Q12" s="891"/>
      <c r="R12" s="892"/>
      <c r="S12" s="897"/>
      <c r="T12" s="908"/>
      <c r="U12" s="34"/>
      <c r="W12" s="335"/>
      <c r="X12" s="335"/>
      <c r="Y12" s="335"/>
      <c r="Z12" s="34"/>
      <c r="AA12" s="34"/>
      <c r="AB12" s="34"/>
      <c r="AC12" s="338"/>
      <c r="AD12" s="338"/>
      <c r="AE12" s="338"/>
      <c r="AF12" s="338"/>
      <c r="AG12" s="34"/>
      <c r="AH12" s="20"/>
    </row>
    <row r="13" spans="1:35" ht="10" customHeight="1" thickBot="1">
      <c r="A13" s="321"/>
      <c r="B13" s="34"/>
      <c r="C13" s="881"/>
      <c r="D13" s="881"/>
      <c r="E13" s="881"/>
      <c r="F13" s="34"/>
      <c r="G13" s="321"/>
      <c r="H13" s="34"/>
      <c r="I13" s="881"/>
      <c r="J13" s="881"/>
      <c r="K13" s="881"/>
      <c r="L13" s="599"/>
      <c r="M13" s="34"/>
      <c r="N13" s="339"/>
      <c r="O13" s="923"/>
      <c r="P13" s="911" t="str">
        <f>IF($L14=$L16," ",IF($L14&gt;$L16,$I14,$I16))</f>
        <v>STV Dozwil ( NLB O )</v>
      </c>
      <c r="Q13" s="912"/>
      <c r="R13" s="913"/>
      <c r="S13" s="936">
        <f>Eigaben!N28</f>
        <v>2</v>
      </c>
      <c r="T13" s="896"/>
      <c r="U13" s="336"/>
      <c r="W13" s="335"/>
      <c r="X13" s="335"/>
      <c r="Y13" s="335"/>
      <c r="Z13" s="34"/>
      <c r="AA13" s="34"/>
      <c r="AB13" s="34"/>
      <c r="AC13" s="338"/>
      <c r="AD13" s="338"/>
      <c r="AE13" s="338"/>
      <c r="AF13" s="338"/>
      <c r="AG13" s="34"/>
      <c r="AH13" s="20"/>
    </row>
    <row r="14" spans="1:35" ht="8.15" customHeight="1" thickBot="1">
      <c r="A14" s="962" t="s">
        <v>2</v>
      </c>
      <c r="B14" s="884">
        <v>40</v>
      </c>
      <c r="C14" s="887" t="str">
        <f>IF(B14=0," ",VLOOKUP(B14,Eigaben!$Y$54:$Z$97,2))</f>
        <v>STV Elgg ( 2. Liga )</v>
      </c>
      <c r="D14" s="888"/>
      <c r="E14" s="889"/>
      <c r="F14" s="1027">
        <f>IF(Eigaben!L7=0,"",Eigaben!L7)</f>
        <v>5</v>
      </c>
      <c r="G14" s="962">
        <v>2</v>
      </c>
      <c r="H14" s="947">
        <f>Eigaben!F29</f>
        <v>58</v>
      </c>
      <c r="I14" s="898" t="str">
        <f>IF(H14=0," ",VLOOKUP($H14,Eigaben!$Y$17:$Z$94,2,1))</f>
        <v>TV Oberwinterthur  (NLB )</v>
      </c>
      <c r="J14" s="900"/>
      <c r="K14" s="900"/>
      <c r="L14" s="936">
        <f>IF(Eigaben!L29=0," ",Eigaben!L29)</f>
        <v>2</v>
      </c>
      <c r="M14" s="884"/>
      <c r="N14" s="336"/>
      <c r="O14" s="923"/>
      <c r="P14" s="914"/>
      <c r="Q14" s="915"/>
      <c r="R14" s="916"/>
      <c r="S14" s="937"/>
      <c r="T14" s="896"/>
      <c r="U14" s="336"/>
      <c r="W14" s="335"/>
      <c r="X14" s="335"/>
      <c r="Y14" s="335"/>
      <c r="Z14" s="34"/>
      <c r="AA14" s="34"/>
      <c r="AB14" s="34"/>
      <c r="AC14" s="338"/>
      <c r="AD14" s="338"/>
      <c r="AE14" s="338"/>
      <c r="AF14" s="338"/>
      <c r="AG14" s="34"/>
      <c r="AH14" s="20"/>
    </row>
    <row r="15" spans="1:35" ht="8.15" customHeight="1" thickBot="1">
      <c r="A15" s="962"/>
      <c r="B15" s="884"/>
      <c r="C15" s="890"/>
      <c r="D15" s="891"/>
      <c r="E15" s="892"/>
      <c r="F15" s="936"/>
      <c r="G15" s="962"/>
      <c r="H15" s="947"/>
      <c r="I15" s="990"/>
      <c r="J15" s="991"/>
      <c r="K15" s="991"/>
      <c r="L15" s="922"/>
      <c r="M15" s="885"/>
      <c r="N15" s="336"/>
      <c r="P15" s="34"/>
      <c r="Q15" s="34"/>
      <c r="R15" s="34"/>
      <c r="S15" s="172"/>
      <c r="T15" s="34"/>
      <c r="U15" s="336"/>
      <c r="W15" s="886" t="s">
        <v>1359</v>
      </c>
      <c r="X15" s="886"/>
      <c r="Y15" s="886"/>
      <c r="Z15" s="34"/>
      <c r="AA15" s="34"/>
      <c r="AB15" s="34"/>
      <c r="AD15" s="34"/>
      <c r="AE15" s="34"/>
      <c r="AF15" s="34"/>
      <c r="AG15" s="34"/>
      <c r="AH15" s="20"/>
    </row>
    <row r="16" spans="1:35" ht="8.15" customHeight="1" thickBot="1">
      <c r="A16" s="962"/>
      <c r="B16" s="884">
        <v>43</v>
      </c>
      <c r="C16" s="999" t="s">
        <v>1332</v>
      </c>
      <c r="D16" s="1000"/>
      <c r="E16" s="1000"/>
      <c r="F16" s="1025">
        <f>zusammenfassung_25!G5</f>
        <v>0</v>
      </c>
      <c r="G16" s="962"/>
      <c r="H16" s="947">
        <f>Eigaben!G29</f>
        <v>54</v>
      </c>
      <c r="I16" s="990" t="str">
        <f>IF(H16=0," ",VLOOKUP($H16,Eigaben!$Y$17:$Z$94,2,1))</f>
        <v>STV Dozwil ( NLB O )</v>
      </c>
      <c r="J16" s="991"/>
      <c r="K16" s="991"/>
      <c r="L16" s="936">
        <f>IF(Eigaben!N29=0," ",Eigaben!N29)</f>
        <v>5</v>
      </c>
      <c r="M16" s="884"/>
      <c r="N16" s="34"/>
      <c r="P16" s="34"/>
      <c r="Q16" s="34"/>
      <c r="R16" s="34"/>
      <c r="S16" s="172"/>
      <c r="T16" s="34"/>
      <c r="U16" s="336"/>
      <c r="W16" s="883"/>
      <c r="X16" s="883"/>
      <c r="Y16" s="883"/>
      <c r="Z16" s="34"/>
      <c r="AA16" s="34"/>
      <c r="AB16" s="34"/>
      <c r="AD16" s="34"/>
      <c r="AE16" s="34"/>
      <c r="AF16" s="34"/>
      <c r="AG16" s="34"/>
      <c r="AH16" s="20"/>
    </row>
    <row r="17" spans="1:34" ht="8.15" customHeight="1" thickBot="1">
      <c r="A17" s="962"/>
      <c r="B17" s="884"/>
      <c r="C17" s="1001"/>
      <c r="D17" s="1002"/>
      <c r="E17" s="1002"/>
      <c r="F17" s="1026"/>
      <c r="G17" s="962"/>
      <c r="H17" s="947"/>
      <c r="I17" s="919"/>
      <c r="J17" s="921"/>
      <c r="K17" s="921"/>
      <c r="L17" s="922"/>
      <c r="M17" s="884"/>
      <c r="N17" s="34"/>
      <c r="P17" s="34"/>
      <c r="Q17" s="34"/>
      <c r="R17" s="34"/>
      <c r="S17" s="172"/>
      <c r="T17" s="34"/>
      <c r="U17" s="337"/>
      <c r="V17" s="923">
        <v>25</v>
      </c>
      <c r="W17" s="887" t="str">
        <f>IF($S11=$S13," ",IF($S11&gt;$S13,$P11,$P13))</f>
        <v>TSV Jona 1( NLB O )</v>
      </c>
      <c r="X17" s="888"/>
      <c r="Y17" s="889"/>
      <c r="Z17" s="906">
        <f>Eigaben!L64</f>
        <v>1</v>
      </c>
      <c r="AA17" s="896" t="s">
        <v>620</v>
      </c>
      <c r="AB17" s="34"/>
      <c r="AD17" s="34"/>
      <c r="AE17" s="34"/>
      <c r="AF17" s="34"/>
      <c r="AG17" s="34"/>
      <c r="AH17" s="20"/>
    </row>
    <row r="18" spans="1:34" ht="10" customHeight="1" thickBot="1">
      <c r="A18" s="321"/>
      <c r="B18" s="34"/>
      <c r="C18" s="34"/>
      <c r="D18" s="34"/>
      <c r="E18" s="34"/>
      <c r="F18" s="34"/>
      <c r="G18" s="321"/>
      <c r="H18" s="34"/>
      <c r="I18" s="1017" t="str">
        <f>zusammenfassung_25!H14</f>
        <v>12:14/11: 9/ 8:11/14:15/11: 9/15:12/ 8:11/10:12</v>
      </c>
      <c r="J18" s="1017"/>
      <c r="K18" s="1017"/>
      <c r="L18" s="1017"/>
      <c r="M18" s="34"/>
      <c r="N18" s="34"/>
      <c r="P18" s="34"/>
      <c r="Q18" s="34"/>
      <c r="R18" s="34"/>
      <c r="S18" s="172"/>
      <c r="T18" s="34"/>
      <c r="U18" s="34"/>
      <c r="V18" s="923"/>
      <c r="W18" s="890"/>
      <c r="X18" s="891"/>
      <c r="Y18" s="892"/>
      <c r="Z18" s="907"/>
      <c r="AA18" s="908"/>
      <c r="AB18" s="34"/>
      <c r="AD18" s="34"/>
      <c r="AE18" s="34"/>
      <c r="AF18" s="34"/>
      <c r="AG18" s="34"/>
      <c r="AH18" s="20"/>
    </row>
    <row r="19" spans="1:34" ht="10" customHeight="1" thickBot="1">
      <c r="A19" s="321"/>
      <c r="B19" s="34"/>
      <c r="C19" s="34"/>
      <c r="D19" s="34"/>
      <c r="E19" s="34"/>
      <c r="F19" s="34"/>
      <c r="G19" s="321"/>
      <c r="H19" s="34"/>
      <c r="I19" s="1018"/>
      <c r="J19" s="1018"/>
      <c r="K19" s="1018"/>
      <c r="L19" s="1018"/>
      <c r="M19" s="34"/>
      <c r="N19" s="34"/>
      <c r="P19" s="34"/>
      <c r="Q19" s="34"/>
      <c r="R19" s="34"/>
      <c r="S19" s="172"/>
      <c r="T19" s="34"/>
      <c r="U19" s="339"/>
      <c r="V19" s="923"/>
      <c r="W19" s="911" t="str">
        <f>IF($S23=$S25," ",IF($S23&gt;$S25,$P23,$P25))</f>
        <v>SVD Diepoldsau-Schmitter (NLA)</v>
      </c>
      <c r="X19" s="912"/>
      <c r="Y19" s="913"/>
      <c r="Z19" s="907">
        <f>Eigaben!N64</f>
        <v>5</v>
      </c>
      <c r="AA19" s="918"/>
      <c r="AB19" s="336"/>
      <c r="AD19" s="34"/>
      <c r="AE19" s="34"/>
      <c r="AF19" s="34"/>
      <c r="AG19" s="34"/>
      <c r="AH19" s="20"/>
    </row>
    <row r="20" spans="1:34" ht="8.15" customHeight="1" thickBot="1">
      <c r="A20" s="962" t="s">
        <v>615</v>
      </c>
      <c r="B20" s="884"/>
      <c r="C20" s="898" t="str">
        <f>IF(B20=0," ",VLOOKUP(B20,Eigaben!$Y$54:$Z$97,2))</f>
        <v xml:space="preserve"> </v>
      </c>
      <c r="D20" s="900"/>
      <c r="E20" s="900"/>
      <c r="F20" s="972" t="str">
        <f>IF(Eigaben!$L8=0,"",Eigaben!$L8)</f>
        <v/>
      </c>
      <c r="G20" s="962">
        <v>3</v>
      </c>
      <c r="H20" s="947">
        <f>Eigaben!F30</f>
        <v>42</v>
      </c>
      <c r="I20" s="898" t="str">
        <f>IF(H20=0," ",VLOOKUP($H20,Eigaben!$Y$17:$Z$94,2,1))</f>
        <v>STV Felben-W.hausen ( 2. Liga )</v>
      </c>
      <c r="J20" s="900"/>
      <c r="K20" s="900"/>
      <c r="L20" s="893">
        <f>Eigaben!L30</f>
        <v>3</v>
      </c>
      <c r="M20" s="884"/>
      <c r="N20" s="34"/>
      <c r="P20" s="34"/>
      <c r="Q20" s="34"/>
      <c r="R20" s="34"/>
      <c r="S20" s="172"/>
      <c r="T20" s="34"/>
      <c r="U20" s="336"/>
      <c r="V20" s="923"/>
      <c r="W20" s="914"/>
      <c r="X20" s="915"/>
      <c r="Y20" s="916"/>
      <c r="Z20" s="917"/>
      <c r="AA20" s="904"/>
      <c r="AB20" s="336"/>
      <c r="AD20" s="34"/>
      <c r="AE20" s="34"/>
      <c r="AF20" s="34"/>
      <c r="AG20" s="34"/>
      <c r="AH20" s="20"/>
    </row>
    <row r="21" spans="1:34" ht="8.15" customHeight="1" thickBot="1">
      <c r="A21" s="962"/>
      <c r="B21" s="884"/>
      <c r="C21" s="1003"/>
      <c r="D21" s="1004"/>
      <c r="E21" s="1004"/>
      <c r="F21" s="992"/>
      <c r="G21" s="962"/>
      <c r="H21" s="947"/>
      <c r="I21" s="990"/>
      <c r="J21" s="991"/>
      <c r="K21" s="991"/>
      <c r="L21" s="894"/>
      <c r="M21" s="885"/>
      <c r="N21" s="34"/>
      <c r="P21" s="886" t="s">
        <v>1355</v>
      </c>
      <c r="Q21" s="886"/>
      <c r="R21" s="886"/>
      <c r="S21" s="886"/>
      <c r="T21" s="34"/>
      <c r="U21" s="336"/>
      <c r="W21" s="335"/>
      <c r="X21" s="335"/>
      <c r="Y21" s="335"/>
      <c r="Z21" s="34"/>
      <c r="AA21" s="34"/>
      <c r="AB21" s="336"/>
      <c r="AD21" s="34"/>
      <c r="AE21" s="34"/>
      <c r="AF21" s="34"/>
      <c r="AG21" s="34"/>
      <c r="AH21" s="20"/>
    </row>
    <row r="22" spans="1:34" ht="8.15" customHeight="1" thickBot="1">
      <c r="A22" s="962"/>
      <c r="B22" s="884"/>
      <c r="C22" s="999" t="str">
        <f>IF(B22=0," ",VLOOKUP(B22,Eigaben!$Y$54:$Z$97,2))</f>
        <v xml:space="preserve"> </v>
      </c>
      <c r="D22" s="1000"/>
      <c r="E22" s="1000"/>
      <c r="F22" s="992"/>
      <c r="G22" s="962"/>
      <c r="H22" s="947">
        <f>Eigaben!G30</f>
        <v>59</v>
      </c>
      <c r="I22" s="990" t="str">
        <f>IF(H22=0," ",VLOOKUP($H22,Eigaben!$Y$17:$Z$94,2,1))</f>
        <v>STV Rickenbach-Wilen 2 ( NLB )</v>
      </c>
      <c r="J22" s="991"/>
      <c r="K22" s="991"/>
      <c r="L22" s="894">
        <f>IF(Eigaben!N30=0,"",Eigaben!N30)</f>
        <v>5</v>
      </c>
      <c r="M22" s="884"/>
      <c r="N22" s="336"/>
      <c r="P22" s="883"/>
      <c r="Q22" s="883"/>
      <c r="R22" s="883"/>
      <c r="S22" s="883"/>
      <c r="T22" s="34"/>
      <c r="U22" s="336"/>
      <c r="W22" s="335"/>
      <c r="X22" s="335"/>
      <c r="Y22" s="335"/>
      <c r="Z22" s="34"/>
      <c r="AA22" s="34"/>
      <c r="AB22" s="336"/>
      <c r="AD22" s="34"/>
      <c r="AE22" s="34"/>
      <c r="AF22" s="34"/>
      <c r="AG22" s="34"/>
      <c r="AH22" s="20"/>
    </row>
    <row r="23" spans="1:34" ht="8.15" customHeight="1" thickBot="1">
      <c r="A23" s="962"/>
      <c r="B23" s="884"/>
      <c r="C23" s="1001"/>
      <c r="D23" s="1002"/>
      <c r="E23" s="1002"/>
      <c r="F23" s="976"/>
      <c r="G23" s="962"/>
      <c r="H23" s="947"/>
      <c r="I23" s="919"/>
      <c r="J23" s="921"/>
      <c r="K23" s="921"/>
      <c r="L23" s="922"/>
      <c r="M23" s="884"/>
      <c r="N23" s="337"/>
      <c r="O23" s="923">
        <v>18</v>
      </c>
      <c r="P23" s="887" t="str">
        <f>IF($L20=$L22," ",IF($L20&gt;$L22,$I20,$I22))</f>
        <v>STV Rickenbach-Wilen 2 ( NLB )</v>
      </c>
      <c r="Q23" s="888"/>
      <c r="R23" s="889"/>
      <c r="S23" s="1007">
        <f>IF(Eigaben!$L51=0,"",Eigaben!L$51)</f>
        <v>2</v>
      </c>
      <c r="T23" s="904"/>
      <c r="U23" s="336"/>
      <c r="W23" s="335"/>
      <c r="X23" s="335"/>
      <c r="Y23" s="335"/>
      <c r="Z23" s="34"/>
      <c r="AA23" s="34"/>
      <c r="AB23" s="336"/>
      <c r="AD23" s="34"/>
      <c r="AE23" s="34"/>
      <c r="AF23" s="34"/>
      <c r="AG23" s="34"/>
      <c r="AH23" s="20"/>
    </row>
    <row r="24" spans="1:34" ht="10" customHeight="1" thickBot="1">
      <c r="A24" s="321"/>
      <c r="B24" s="34"/>
      <c r="C24" s="34"/>
      <c r="D24" s="34"/>
      <c r="E24" s="34"/>
      <c r="F24" s="34"/>
      <c r="G24" s="321"/>
      <c r="H24" s="34"/>
      <c r="I24" s="882" t="str">
        <f>zusammenfassung_25!H15</f>
        <v xml:space="preserve"> 8:11/11: 8/11: 3/11: 6/ 8:11/10:12/ 8:11/ 8:11 </v>
      </c>
      <c r="J24" s="882"/>
      <c r="K24" s="882"/>
      <c r="L24" s="882"/>
      <c r="M24" s="34"/>
      <c r="N24" s="34"/>
      <c r="O24" s="923"/>
      <c r="P24" s="890"/>
      <c r="Q24" s="891"/>
      <c r="R24" s="892"/>
      <c r="S24" s="894"/>
      <c r="T24" s="905"/>
      <c r="U24" s="336"/>
      <c r="W24" s="335"/>
      <c r="X24" s="335"/>
      <c r="Y24" s="335"/>
      <c r="Z24" s="34"/>
      <c r="AA24" s="34"/>
      <c r="AB24" s="336"/>
      <c r="AD24" s="34"/>
      <c r="AE24" s="34"/>
      <c r="AF24" s="34"/>
      <c r="AG24" s="34"/>
      <c r="AH24" s="20"/>
    </row>
    <row r="25" spans="1:34" ht="10" customHeight="1" thickBot="1">
      <c r="A25" s="321"/>
      <c r="B25" s="34"/>
      <c r="C25" s="34"/>
      <c r="D25" s="34"/>
      <c r="E25" s="34"/>
      <c r="F25" s="34"/>
      <c r="G25" s="321"/>
      <c r="H25" s="34"/>
      <c r="I25" s="883"/>
      <c r="J25" s="883"/>
      <c r="K25" s="883"/>
      <c r="L25" s="883"/>
      <c r="M25" s="34"/>
      <c r="N25" s="339"/>
      <c r="O25" s="923"/>
      <c r="P25" s="911" t="str">
        <f>IF($L26=$L28," ",IF($L26&gt;$L28,$I26,$I28))</f>
        <v>SVD Diepoldsau-Schmitter (NLA)</v>
      </c>
      <c r="Q25" s="912"/>
      <c r="R25" s="913"/>
      <c r="S25" s="894">
        <f>IF(Eigaben!$N51=0,"",Eigaben!$N51)</f>
        <v>5</v>
      </c>
      <c r="T25" s="895" t="s">
        <v>620</v>
      </c>
      <c r="U25" s="34"/>
      <c r="W25" s="335"/>
      <c r="X25" s="335"/>
      <c r="Y25" s="335"/>
      <c r="Z25" s="34"/>
      <c r="AA25" s="34"/>
      <c r="AB25" s="336"/>
      <c r="AD25" s="34"/>
      <c r="AE25" s="34"/>
      <c r="AF25" s="34"/>
      <c r="AG25" s="34"/>
      <c r="AH25" s="20"/>
    </row>
    <row r="26" spans="1:34" ht="8.15" customHeight="1" thickBot="1">
      <c r="A26" s="962" t="s">
        <v>616</v>
      </c>
      <c r="B26" s="884"/>
      <c r="C26" s="898" t="str">
        <f>IF(B26=0," ",VLOOKUP(B26,Eigaben!$Y$54:$Z$97,2))</f>
        <v xml:space="preserve"> </v>
      </c>
      <c r="D26" s="900"/>
      <c r="E26" s="900"/>
      <c r="F26" s="972" t="str">
        <f>IF(Eigaben!$L9=0,"",Eigaben!$L9)</f>
        <v/>
      </c>
      <c r="G26" s="962">
        <v>4</v>
      </c>
      <c r="H26" s="947">
        <f>Eigaben!F31</f>
        <v>55</v>
      </c>
      <c r="I26" s="898" t="str">
        <f>IF(H26=0," ",VLOOKUP($H26,Eigaben!$Y$17:$Z$94,2,1))</f>
        <v>FG Elgg-Ettenhausen 2 ( NLB O )</v>
      </c>
      <c r="J26" s="899"/>
      <c r="K26" s="900"/>
      <c r="L26" s="893">
        <f>IF(Eigaben!L31=0,"",Eigaben!L31)</f>
        <v>3</v>
      </c>
      <c r="M26" s="884"/>
      <c r="N26" s="336"/>
      <c r="O26" s="923"/>
      <c r="P26" s="914"/>
      <c r="Q26" s="915"/>
      <c r="R26" s="916"/>
      <c r="S26" s="922"/>
      <c r="T26" s="896"/>
      <c r="U26" s="34"/>
      <c r="W26" s="335"/>
      <c r="X26" s="335"/>
      <c r="Y26" s="335"/>
      <c r="Z26" s="34"/>
      <c r="AA26" s="34"/>
      <c r="AB26" s="336"/>
      <c r="AD26" s="34"/>
      <c r="AE26" s="34"/>
      <c r="AF26" s="34"/>
      <c r="AG26" s="34"/>
      <c r="AH26" s="20"/>
    </row>
    <row r="27" spans="1:34" ht="8.15" customHeight="1" thickBot="1">
      <c r="A27" s="962"/>
      <c r="B27" s="884"/>
      <c r="C27" s="1003"/>
      <c r="D27" s="1004"/>
      <c r="E27" s="1004"/>
      <c r="F27" s="992"/>
      <c r="G27" s="962"/>
      <c r="H27" s="947"/>
      <c r="I27" s="901"/>
      <c r="J27" s="902"/>
      <c r="K27" s="903"/>
      <c r="L27" s="894"/>
      <c r="M27" s="885"/>
      <c r="N27" s="336"/>
      <c r="P27" s="34"/>
      <c r="Q27" s="34"/>
      <c r="R27" s="34"/>
      <c r="S27" s="172"/>
      <c r="T27" s="34"/>
      <c r="U27" s="34"/>
      <c r="W27" s="335"/>
      <c r="X27" s="335"/>
      <c r="Y27" s="335"/>
      <c r="Z27" s="34"/>
      <c r="AA27" s="34"/>
      <c r="AB27" s="336"/>
      <c r="AD27" s="886" t="str">
        <f>zusammenfassung_25!H49</f>
        <v>13:11/ 8/10:12/ 6:11/ 9:11/ 5:11/13:15</v>
      </c>
      <c r="AE27" s="886"/>
      <c r="AF27" s="886"/>
      <c r="AG27" s="884"/>
      <c r="AH27" s="20"/>
    </row>
    <row r="28" spans="1:34" ht="8.15" customHeight="1" thickBot="1">
      <c r="A28" s="962"/>
      <c r="B28" s="884"/>
      <c r="C28" s="999" t="str">
        <f>IF(B28=0," ",VLOOKUP(B28,Eigaben!$Y$54:$Z$97,2))</f>
        <v xml:space="preserve"> </v>
      </c>
      <c r="D28" s="1000"/>
      <c r="E28" s="1000"/>
      <c r="F28" s="992"/>
      <c r="G28" s="962"/>
      <c r="H28" s="947">
        <v>65</v>
      </c>
      <c r="I28" s="901" t="str">
        <f>IF(H28=0," ",VLOOKUP($H28,Eigaben!$Y$17:$Z$94,2,1))</f>
        <v>SVD Diepoldsau-Schmitter (NLA)</v>
      </c>
      <c r="J28" s="902"/>
      <c r="K28" s="903"/>
      <c r="L28" s="894">
        <f>IF(Eigaben!N31=0,"",Eigaben!N31)</f>
        <v>5</v>
      </c>
      <c r="M28" s="884"/>
      <c r="N28" s="34"/>
      <c r="P28" s="34"/>
      <c r="Q28" s="34"/>
      <c r="R28" s="34"/>
      <c r="S28" s="172"/>
      <c r="T28" s="34"/>
      <c r="U28" s="34"/>
      <c r="W28" s="335"/>
      <c r="X28" s="335"/>
      <c r="Y28" s="335"/>
      <c r="Z28" s="34"/>
      <c r="AA28" s="34"/>
      <c r="AB28" s="896" t="s">
        <v>620</v>
      </c>
      <c r="AD28" s="883"/>
      <c r="AE28" s="883"/>
      <c r="AF28" s="883"/>
      <c r="AG28" s="885"/>
      <c r="AH28" s="20"/>
    </row>
    <row r="29" spans="1:34" ht="8.15" customHeight="1" thickBot="1">
      <c r="A29" s="962"/>
      <c r="B29" s="884"/>
      <c r="C29" s="1001"/>
      <c r="D29" s="1002"/>
      <c r="E29" s="1002"/>
      <c r="F29" s="976"/>
      <c r="G29" s="962"/>
      <c r="H29" s="947"/>
      <c r="I29" s="919"/>
      <c r="J29" s="920"/>
      <c r="K29" s="921"/>
      <c r="L29" s="922"/>
      <c r="M29" s="884"/>
      <c r="N29" s="34"/>
      <c r="P29" s="34"/>
      <c r="Q29" s="34"/>
      <c r="R29" s="34"/>
      <c r="S29" s="172"/>
      <c r="T29" s="34"/>
      <c r="U29" s="34"/>
      <c r="W29" s="335"/>
      <c r="X29" s="335"/>
      <c r="Y29" s="335"/>
      <c r="Z29" s="34"/>
      <c r="AA29" s="34"/>
      <c r="AB29" s="1008"/>
      <c r="AC29" s="923">
        <v>29</v>
      </c>
      <c r="AD29" s="887" t="str">
        <f>IF($Z17=$Z19," ",IF($Z17&gt;$Z19,$W17,$W19))</f>
        <v>SVD Diepoldsau-Schmitter (NLA)</v>
      </c>
      <c r="AE29" s="888"/>
      <c r="AF29" s="889"/>
      <c r="AG29" s="909">
        <f>Eigaben!L73</f>
        <v>1</v>
      </c>
      <c r="AH29" s="20"/>
    </row>
    <row r="30" spans="1:34" ht="10" customHeight="1">
      <c r="A30" s="321"/>
      <c r="B30" s="34"/>
      <c r="C30" s="34"/>
      <c r="D30" s="34"/>
      <c r="E30" s="34"/>
      <c r="F30" s="34"/>
      <c r="G30" s="321"/>
      <c r="H30" s="34"/>
      <c r="I30" s="882" t="s">
        <v>1328</v>
      </c>
      <c r="J30" s="882"/>
      <c r="K30" s="882"/>
      <c r="L30" s="882"/>
      <c r="M30" s="34"/>
      <c r="N30" s="34"/>
      <c r="P30" s="34"/>
      <c r="Q30" s="34"/>
      <c r="R30" s="34"/>
      <c r="S30" s="172"/>
      <c r="T30" s="34"/>
      <c r="U30" s="34"/>
      <c r="W30" s="335"/>
      <c r="X30" s="335"/>
      <c r="Y30" s="335"/>
      <c r="Z30" s="34"/>
      <c r="AA30" s="34"/>
      <c r="AB30" s="34"/>
      <c r="AC30" s="923"/>
      <c r="AD30" s="890"/>
      <c r="AE30" s="891"/>
      <c r="AF30" s="892"/>
      <c r="AG30" s="910"/>
      <c r="AH30" s="20"/>
    </row>
    <row r="31" spans="1:34" ht="10" customHeight="1" thickBot="1">
      <c r="A31" s="321"/>
      <c r="B31" s="34"/>
      <c r="C31" s="34"/>
      <c r="D31" s="34"/>
      <c r="E31" s="34"/>
      <c r="F31" s="34"/>
      <c r="G31" s="321"/>
      <c r="H31" s="34"/>
      <c r="I31" s="883"/>
      <c r="J31" s="883"/>
      <c r="K31" s="883"/>
      <c r="L31" s="883"/>
      <c r="M31" s="34"/>
      <c r="N31" s="34"/>
      <c r="P31" s="34"/>
      <c r="Q31" s="34"/>
      <c r="R31" s="34"/>
      <c r="S31" s="172"/>
      <c r="T31" s="34"/>
      <c r="U31" s="34"/>
      <c r="W31" s="335"/>
      <c r="X31" s="335"/>
      <c r="Y31" s="335"/>
      <c r="Z31" s="34"/>
      <c r="AA31" s="34"/>
      <c r="AB31" s="339"/>
      <c r="AC31" s="923"/>
      <c r="AD31" s="911" t="str">
        <f>IF($Z42=$Z44," ",IF($Z42&gt;$Z44,$W42,$W44))</f>
        <v>STV Affeltrangen  ( NLA )</v>
      </c>
      <c r="AE31" s="912"/>
      <c r="AF31" s="913"/>
      <c r="AG31" s="910">
        <f>Z19</f>
        <v>5</v>
      </c>
      <c r="AH31" s="20"/>
    </row>
    <row r="32" spans="1:34" ht="8.15" customHeight="1" thickBot="1">
      <c r="A32" s="962" t="s">
        <v>617</v>
      </c>
      <c r="B32" s="884"/>
      <c r="C32" s="898" t="str">
        <f>IF(B32=0," ",VLOOKUP(B32,Eigaben!$Y$54:$Z$97,2))</f>
        <v xml:space="preserve"> </v>
      </c>
      <c r="D32" s="900"/>
      <c r="E32" s="900"/>
      <c r="F32" s="972" t="str">
        <f>IF(Eigaben!$L10=0,"",Eigaben!$L10)</f>
        <v/>
      </c>
      <c r="G32" s="962">
        <v>5</v>
      </c>
      <c r="H32" s="947">
        <v>53</v>
      </c>
      <c r="I32" s="898" t="str">
        <f>IF(H32=0," ",VLOOKUP($H32,Eigaben!$Y$17:$Z$94,2,1))</f>
        <v>STV Dägerlen ( NLB O )</v>
      </c>
      <c r="J32" s="899"/>
      <c r="K32" s="900"/>
      <c r="L32" s="893">
        <f>IF(Eigaben!L32=0,"",Eigaben!L32)</f>
        <v>1</v>
      </c>
      <c r="M32" s="884"/>
      <c r="N32" s="34"/>
      <c r="P32" s="335"/>
      <c r="Q32" s="34"/>
      <c r="R32" s="34"/>
      <c r="S32" s="172"/>
      <c r="T32" s="34"/>
      <c r="U32" s="34"/>
      <c r="W32" s="335"/>
      <c r="X32" s="335"/>
      <c r="Y32" s="335"/>
      <c r="Z32" s="34"/>
      <c r="AA32" s="34"/>
      <c r="AB32" s="336"/>
      <c r="AC32" s="923"/>
      <c r="AD32" s="914"/>
      <c r="AE32" s="915"/>
      <c r="AF32" s="916"/>
      <c r="AG32" s="917"/>
      <c r="AH32" s="20"/>
    </row>
    <row r="33" spans="1:34" ht="8.15" customHeight="1" thickBot="1">
      <c r="A33" s="962"/>
      <c r="B33" s="884"/>
      <c r="C33" s="1003"/>
      <c r="D33" s="1004"/>
      <c r="E33" s="1004"/>
      <c r="F33" s="1006"/>
      <c r="G33" s="962"/>
      <c r="H33" s="947"/>
      <c r="I33" s="901"/>
      <c r="J33" s="902"/>
      <c r="K33" s="903"/>
      <c r="L33" s="894"/>
      <c r="M33" s="885"/>
      <c r="N33" s="34"/>
      <c r="P33" s="1020" t="str">
        <f>zusammenfassung_25!H33</f>
        <v>11: 5/12:10/13:15/10:12/10:12/11: 8/11: 5/ 8:11/12:10</v>
      </c>
      <c r="Q33" s="1020"/>
      <c r="R33" s="1020"/>
      <c r="S33" s="1020"/>
      <c r="T33" s="34"/>
      <c r="U33" s="34"/>
      <c r="W33" s="335"/>
      <c r="X33" s="335"/>
      <c r="Y33" s="335"/>
      <c r="Z33" s="34"/>
      <c r="AA33" s="34"/>
      <c r="AB33" s="336"/>
      <c r="AD33" s="34"/>
      <c r="AE33" s="34"/>
      <c r="AF33" s="34"/>
      <c r="AG33" s="966"/>
      <c r="AH33" s="20"/>
    </row>
    <row r="34" spans="1:34" ht="8.15" customHeight="1" thickBot="1">
      <c r="A34" s="962"/>
      <c r="B34" s="884"/>
      <c r="C34" s="999" t="str">
        <f>IF(B34=0," ",VLOOKUP(B34,Eigaben!$Y$54:$Z$97,2))</f>
        <v xml:space="preserve"> </v>
      </c>
      <c r="D34" s="1000"/>
      <c r="E34" s="1000"/>
      <c r="F34" s="971"/>
      <c r="G34" s="962"/>
      <c r="H34" s="947">
        <f>67</f>
        <v>67</v>
      </c>
      <c r="I34" s="901" t="str">
        <f>IF(H34=0," ",VLOOKUP($H34,Eigaben!$Y$17:$Z$94,2,1))</f>
        <v>FG Fricktal ( NLA  )</v>
      </c>
      <c r="J34" s="902"/>
      <c r="K34" s="903"/>
      <c r="L34" s="894">
        <f>IF(Eigaben!N32=0,"",Eigaben!N32)</f>
        <v>5</v>
      </c>
      <c r="M34" s="884"/>
      <c r="N34" s="336"/>
      <c r="P34" s="1021"/>
      <c r="Q34" s="1021"/>
      <c r="R34" s="1021"/>
      <c r="S34" s="1021"/>
      <c r="T34" s="34"/>
      <c r="U34" s="34"/>
      <c r="W34" s="335"/>
      <c r="X34" s="335"/>
      <c r="Y34" s="335"/>
      <c r="Z34" s="34"/>
      <c r="AA34" s="34"/>
      <c r="AB34" s="336"/>
      <c r="AD34" s="34"/>
      <c r="AE34" s="34"/>
      <c r="AF34" s="34"/>
      <c r="AG34" s="884"/>
      <c r="AH34" s="20"/>
    </row>
    <row r="35" spans="1:34" ht="8.15" customHeight="1" thickBot="1">
      <c r="A35" s="962"/>
      <c r="B35" s="884"/>
      <c r="C35" s="1001"/>
      <c r="D35" s="1002"/>
      <c r="E35" s="1002"/>
      <c r="F35" s="1005"/>
      <c r="G35" s="962"/>
      <c r="H35" s="947"/>
      <c r="I35" s="919"/>
      <c r="J35" s="920"/>
      <c r="K35" s="921"/>
      <c r="L35" s="922"/>
      <c r="M35" s="884"/>
      <c r="N35" s="337"/>
      <c r="O35" s="923">
        <v>19</v>
      </c>
      <c r="P35" s="887" t="str">
        <f>IF($L32=$L34," ",IF($L32&gt;$L34,$I32,$I34))</f>
        <v>FG Fricktal ( NLA  )</v>
      </c>
      <c r="Q35" s="888"/>
      <c r="R35" s="889"/>
      <c r="S35" s="893">
        <f>Eigaben!N52</f>
        <v>4</v>
      </c>
      <c r="T35" s="896" t="s">
        <v>620</v>
      </c>
      <c r="U35" s="34"/>
      <c r="W35" s="335"/>
      <c r="X35" s="335"/>
      <c r="Y35" s="335"/>
      <c r="Z35" s="34"/>
      <c r="AA35" s="34"/>
      <c r="AB35" s="336"/>
      <c r="AD35" s="34"/>
      <c r="AE35" s="34"/>
      <c r="AF35" s="34"/>
      <c r="AG35" s="34"/>
      <c r="AH35" s="20"/>
    </row>
    <row r="36" spans="1:34" ht="10" customHeight="1" thickBot="1">
      <c r="A36" s="321"/>
      <c r="B36" s="34"/>
      <c r="C36" s="34"/>
      <c r="D36" s="34"/>
      <c r="E36" s="34"/>
      <c r="F36" s="34"/>
      <c r="G36" s="321"/>
      <c r="H36" s="34"/>
      <c r="I36" s="880" t="str">
        <f>zusammenfassung_25!H33</f>
        <v>11: 5/12:10/13:15/10:12/10:12/11: 8/11: 5/ 8:11/12:10</v>
      </c>
      <c r="J36" s="880"/>
      <c r="K36" s="880"/>
      <c r="L36" s="880"/>
      <c r="M36" s="34"/>
      <c r="N36" s="34"/>
      <c r="O36" s="923"/>
      <c r="P36" s="890"/>
      <c r="Q36" s="891"/>
      <c r="R36" s="892"/>
      <c r="S36" s="894"/>
      <c r="T36" s="908"/>
      <c r="U36" s="34"/>
      <c r="W36" s="335"/>
      <c r="X36" s="335"/>
      <c r="Y36" s="335"/>
      <c r="Z36" s="34"/>
      <c r="AA36" s="34"/>
      <c r="AB36" s="336"/>
      <c r="AD36" s="34"/>
      <c r="AE36" s="34"/>
      <c r="AF36" s="34"/>
      <c r="AG36" s="34"/>
      <c r="AH36" s="20"/>
    </row>
    <row r="37" spans="1:34" ht="10" customHeight="1" thickBot="1">
      <c r="A37" s="321"/>
      <c r="B37" s="34"/>
      <c r="C37" s="34"/>
      <c r="D37" s="34"/>
      <c r="E37" s="34"/>
      <c r="F37" s="34"/>
      <c r="G37" s="321"/>
      <c r="H37" s="34"/>
      <c r="I37" s="881"/>
      <c r="J37" s="881"/>
      <c r="K37" s="881"/>
      <c r="L37" s="881"/>
      <c r="M37" s="34"/>
      <c r="N37" s="339"/>
      <c r="O37" s="923"/>
      <c r="P37" s="911" t="str">
        <f>IF($L38=$L40," ",IF($L38&gt;$L40,$I38,$I40))</f>
        <v>FBV Ettenhausen ( 2. Liga S )</v>
      </c>
      <c r="Q37" s="912"/>
      <c r="R37" s="913"/>
      <c r="S37" s="894">
        <f>IF(Eigaben!$L52=0,"",Eigaben!$L52)</f>
        <v>5</v>
      </c>
      <c r="T37" s="918"/>
      <c r="U37" s="336"/>
      <c r="W37" s="335"/>
      <c r="X37" s="335"/>
      <c r="Y37" s="335"/>
      <c r="Z37" s="34"/>
      <c r="AA37" s="34"/>
      <c r="AB37" s="336"/>
      <c r="AD37" s="34"/>
      <c r="AE37" s="34"/>
      <c r="AF37" s="34"/>
      <c r="AG37" s="34"/>
      <c r="AH37" s="20"/>
    </row>
    <row r="38" spans="1:34" ht="8.15" customHeight="1" thickBot="1">
      <c r="A38" s="962" t="s">
        <v>618</v>
      </c>
      <c r="B38" s="884"/>
      <c r="C38" s="898" t="str">
        <f>IF(B38=0," ",VLOOKUP(B38,Eigaben!$Y$54:$Z$97,2))</f>
        <v xml:space="preserve"> </v>
      </c>
      <c r="D38" s="900"/>
      <c r="E38" s="900"/>
      <c r="F38" s="972" t="str">
        <f>IF(Eigaben!$L11=0,"",Eigaben!$L11)</f>
        <v/>
      </c>
      <c r="G38" s="962">
        <v>6</v>
      </c>
      <c r="H38" s="947">
        <v>41</v>
      </c>
      <c r="I38" s="898" t="str">
        <f>IF(H38=0," ",VLOOKUP($H38,Eigaben!$Y$17:$Z$94,2,1))</f>
        <v>FBV Ettenhausen ( 2. Liga S )</v>
      </c>
      <c r="J38" s="899"/>
      <c r="K38" s="900"/>
      <c r="L38" s="893">
        <f>IF(Eigaben!L33=0,"",Eigaben!L33)</f>
        <v>5</v>
      </c>
      <c r="M38" s="884"/>
      <c r="N38" s="336"/>
      <c r="O38" s="923"/>
      <c r="P38" s="914"/>
      <c r="Q38" s="915"/>
      <c r="R38" s="916"/>
      <c r="S38" s="922"/>
      <c r="T38" s="904"/>
      <c r="U38" s="336"/>
      <c r="W38" s="335"/>
      <c r="X38" s="335"/>
      <c r="Y38" s="335"/>
      <c r="Z38" s="34"/>
      <c r="AA38" s="34"/>
      <c r="AB38" s="336"/>
      <c r="AD38" s="34"/>
      <c r="AE38" s="34"/>
      <c r="AF38" s="34"/>
      <c r="AG38" s="34"/>
      <c r="AH38" s="20"/>
    </row>
    <row r="39" spans="1:34" ht="8.15" customHeight="1" thickBot="1">
      <c r="A39" s="962"/>
      <c r="B39" s="884"/>
      <c r="C39" s="1003"/>
      <c r="D39" s="1004"/>
      <c r="E39" s="1004"/>
      <c r="F39" s="992"/>
      <c r="G39" s="962"/>
      <c r="H39" s="947"/>
      <c r="I39" s="901"/>
      <c r="J39" s="902"/>
      <c r="K39" s="903"/>
      <c r="L39" s="894"/>
      <c r="M39" s="885"/>
      <c r="N39" s="336"/>
      <c r="P39" s="34"/>
      <c r="Q39" s="34"/>
      <c r="R39" s="34"/>
      <c r="S39" s="172"/>
      <c r="T39" s="34"/>
      <c r="U39" s="336"/>
      <c r="W39" s="335"/>
      <c r="X39" s="335"/>
      <c r="Y39" s="335"/>
      <c r="Z39" s="34"/>
      <c r="AA39" s="34"/>
      <c r="AB39" s="336"/>
      <c r="AD39" s="34"/>
      <c r="AE39" s="34"/>
      <c r="AF39" s="884" t="s">
        <v>651</v>
      </c>
      <c r="AG39" s="884"/>
      <c r="AH39" s="20"/>
    </row>
    <row r="40" spans="1:34" ht="8.15" customHeight="1">
      <c r="A40" s="962"/>
      <c r="B40" s="884"/>
      <c r="C40" s="999" t="str">
        <f>IF(B40=0," ",VLOOKUP(B40,Eigaben!$Y$54:$Z$97,2))</f>
        <v xml:space="preserve"> </v>
      </c>
      <c r="D40" s="1000"/>
      <c r="E40" s="1000"/>
      <c r="F40" s="992" t="str">
        <f>IF(Eigaben!$N11=0,"",Eigaben!$N11)</f>
        <v/>
      </c>
      <c r="G40" s="962"/>
      <c r="H40" s="947">
        <v>50</v>
      </c>
      <c r="I40" s="901" t="str">
        <f>IF(H40=0," ",VLOOKUP($H40,Eigaben!$Y$17:$Z$94,2,1))</f>
        <v xml:space="preserve">TSV Jona 2  ( 1. Liga O )  </v>
      </c>
      <c r="J40" s="902"/>
      <c r="K40" s="903"/>
      <c r="L40" s="894">
        <f>IF(Eigaben!N33=0,"",Eigaben!N33)</f>
        <v>2</v>
      </c>
      <c r="M40" s="884"/>
      <c r="N40" s="34"/>
      <c r="P40" s="34"/>
      <c r="Q40" s="34"/>
      <c r="R40" s="34"/>
      <c r="S40" s="172"/>
      <c r="T40" s="34"/>
      <c r="U40" s="336"/>
      <c r="W40" s="963" t="str">
        <f>zusammenfassung_25!H43</f>
        <v>11: 6/ 7:11/ 9:11/ 9:11/ 9:11/ 9:11</v>
      </c>
      <c r="X40" s="963"/>
      <c r="Y40" s="963"/>
      <c r="Z40" s="34"/>
      <c r="AA40" s="34"/>
      <c r="AB40" s="336"/>
      <c r="AD40" s="34"/>
      <c r="AE40" s="34"/>
      <c r="AF40" s="884"/>
      <c r="AG40" s="884"/>
      <c r="AH40" s="20"/>
    </row>
    <row r="41" spans="1:34" ht="8.15" customHeight="1" thickBot="1">
      <c r="A41" s="962"/>
      <c r="B41" s="884"/>
      <c r="C41" s="1001"/>
      <c r="D41" s="1002"/>
      <c r="E41" s="1002"/>
      <c r="F41" s="976"/>
      <c r="G41" s="962"/>
      <c r="H41" s="947"/>
      <c r="I41" s="919"/>
      <c r="J41" s="920"/>
      <c r="K41" s="921"/>
      <c r="L41" s="922"/>
      <c r="M41" s="884"/>
      <c r="N41" s="34"/>
      <c r="P41" s="34"/>
      <c r="Q41" s="34"/>
      <c r="R41" s="34"/>
      <c r="S41" s="172"/>
      <c r="T41" s="34"/>
      <c r="U41" s="337"/>
      <c r="V41" s="962">
        <v>26</v>
      </c>
      <c r="W41" s="915"/>
      <c r="X41" s="915"/>
      <c r="Y41" s="915"/>
      <c r="Z41" s="172"/>
      <c r="AA41" s="343"/>
      <c r="AB41" s="336"/>
      <c r="AC41" s="993">
        <f>Eigaben!Z13</f>
        <v>45920</v>
      </c>
      <c r="AD41" s="993"/>
      <c r="AE41" s="340"/>
      <c r="AF41" s="993">
        <f>Eigaben!Z14</f>
        <v>45927</v>
      </c>
      <c r="AG41" s="993"/>
      <c r="AH41" s="20"/>
    </row>
    <row r="42" spans="1:34" ht="8.15" customHeight="1">
      <c r="A42" s="321"/>
      <c r="B42" s="330"/>
      <c r="C42" s="34"/>
      <c r="D42" s="34"/>
      <c r="E42" s="34"/>
      <c r="F42" s="330"/>
      <c r="G42" s="321"/>
      <c r="H42" s="330"/>
      <c r="I42" s="335"/>
      <c r="J42" s="335"/>
      <c r="K42" s="335"/>
      <c r="L42" s="183"/>
      <c r="M42" s="330"/>
      <c r="N42" s="34"/>
      <c r="P42" s="34"/>
      <c r="Q42" s="34"/>
      <c r="R42" s="34"/>
      <c r="S42" s="172"/>
      <c r="T42" s="34"/>
      <c r="U42" s="34"/>
      <c r="V42" s="923"/>
      <c r="W42" s="887" t="str">
        <f>IF($S35=$S37," ",IF($S35&gt;$S37,$P35,$P37))</f>
        <v>FBV Ettenhausen ( 2. Liga S )</v>
      </c>
      <c r="X42" s="888"/>
      <c r="Y42" s="889"/>
      <c r="Z42" s="906">
        <f>IF(Eigaben!L65=0," ",Eigaben!L65)</f>
        <v>1</v>
      </c>
      <c r="AA42" s="904" t="s">
        <v>620</v>
      </c>
      <c r="AB42" s="336"/>
      <c r="AC42" s="993"/>
      <c r="AD42" s="993"/>
      <c r="AE42" s="340"/>
      <c r="AF42" s="993"/>
      <c r="AG42" s="993"/>
      <c r="AH42" s="20"/>
    </row>
    <row r="43" spans="1:34" ht="10" customHeight="1" thickBot="1">
      <c r="A43" s="321"/>
      <c r="B43" s="34"/>
      <c r="C43" s="34"/>
      <c r="D43" s="34"/>
      <c r="E43" s="34"/>
      <c r="F43" s="34"/>
      <c r="G43" s="321"/>
      <c r="H43" s="34"/>
      <c r="I43" s="940" t="str">
        <f>zusammenfassung_25!H18</f>
        <v xml:space="preserve"> 9:11/11:13/10:12/11: 5/11: 6/11: 8/ 9:11/11: 6/11:13 </v>
      </c>
      <c r="J43" s="940"/>
      <c r="K43" s="940"/>
      <c r="L43" s="940"/>
      <c r="M43" s="34"/>
      <c r="N43" s="34"/>
      <c r="P43" s="34"/>
      <c r="Q43" s="34"/>
      <c r="R43" s="34"/>
      <c r="S43" s="172"/>
      <c r="T43" s="34"/>
      <c r="U43" s="34"/>
      <c r="V43" s="923"/>
      <c r="W43" s="890"/>
      <c r="X43" s="891"/>
      <c r="Y43" s="892"/>
      <c r="Z43" s="907"/>
      <c r="AA43" s="905"/>
      <c r="AB43" s="336"/>
      <c r="AC43" s="993"/>
      <c r="AD43" s="993"/>
      <c r="AE43" s="340"/>
      <c r="AF43" s="993"/>
      <c r="AG43" s="993"/>
      <c r="AH43" s="20"/>
    </row>
    <row r="44" spans="1:34" ht="10" customHeight="1" thickBot="1">
      <c r="A44" s="321"/>
      <c r="B44" s="34"/>
      <c r="C44" s="34"/>
      <c r="D44" s="34"/>
      <c r="E44" s="34"/>
      <c r="F44" s="34"/>
      <c r="G44" s="321"/>
      <c r="H44" s="34"/>
      <c r="I44" s="881"/>
      <c r="J44" s="881"/>
      <c r="K44" s="881"/>
      <c r="L44" s="881"/>
      <c r="M44" s="34"/>
      <c r="N44" s="34"/>
      <c r="P44" s="34"/>
      <c r="Q44" s="34"/>
      <c r="R44" s="34"/>
      <c r="S44" s="172"/>
      <c r="T44" s="34"/>
      <c r="U44" s="339"/>
      <c r="V44" s="923"/>
      <c r="W44" s="994" t="str">
        <f>IF($S48=$S50," ",IF($S48&gt;$S50,$P48,$P50))</f>
        <v>STV Affeltrangen  ( NLA )</v>
      </c>
      <c r="X44" s="963"/>
      <c r="Y44" s="995"/>
      <c r="Z44" s="907">
        <f>Eigaben!N65</f>
        <v>5</v>
      </c>
      <c r="AA44" s="895"/>
      <c r="AB44" s="34"/>
      <c r="AC44" s="341"/>
      <c r="AD44" s="341"/>
      <c r="AE44" s="341"/>
      <c r="AF44" s="341"/>
      <c r="AG44" s="341"/>
      <c r="AH44" s="20"/>
    </row>
    <row r="45" spans="1:34" ht="8.15" customHeight="1" thickBot="1">
      <c r="A45" s="962" t="s">
        <v>619</v>
      </c>
      <c r="B45" s="884"/>
      <c r="C45" s="898" t="str">
        <f>Eigaben!H12</f>
        <v/>
      </c>
      <c r="D45" s="900"/>
      <c r="E45" s="900"/>
      <c r="F45" s="972" t="str">
        <f>IF(Eigaben!$L12=0,"",Eigaben!$L12)</f>
        <v/>
      </c>
      <c r="G45" s="962">
        <v>7</v>
      </c>
      <c r="H45" s="947">
        <f>Eigaben!F34</f>
        <v>46</v>
      </c>
      <c r="I45" s="898" t="str">
        <f>IF(H45=0," ",VLOOKUP($H45,Eigaben!$Y$17:$Z$94,2,1))</f>
        <v>SUS Widnau   ( 2. Liga F )</v>
      </c>
      <c r="J45" s="899"/>
      <c r="K45" s="900"/>
      <c r="L45" s="893">
        <f>IF(Eigaben!L34=0,"",Eigaben!L34)</f>
        <v>4</v>
      </c>
      <c r="M45" s="896"/>
      <c r="N45" s="34"/>
      <c r="P45" s="34"/>
      <c r="Q45" s="34"/>
      <c r="R45" s="34"/>
      <c r="S45" s="172"/>
      <c r="T45" s="34"/>
      <c r="U45" s="336"/>
      <c r="V45" s="923"/>
      <c r="W45" s="914"/>
      <c r="X45" s="915"/>
      <c r="Y45" s="916"/>
      <c r="Z45" s="917"/>
      <c r="AA45" s="896"/>
      <c r="AB45" s="321"/>
      <c r="AD45" s="321"/>
      <c r="AE45" s="321"/>
      <c r="AF45" s="321"/>
      <c r="AG45" s="321"/>
      <c r="AH45" s="20"/>
    </row>
    <row r="46" spans="1:34" ht="8.15" customHeight="1" thickBot="1">
      <c r="A46" s="962"/>
      <c r="B46" s="884"/>
      <c r="C46" s="990"/>
      <c r="D46" s="991"/>
      <c r="E46" s="991"/>
      <c r="F46" s="992"/>
      <c r="G46" s="962"/>
      <c r="H46" s="947"/>
      <c r="I46" s="901"/>
      <c r="J46" s="902"/>
      <c r="K46" s="903"/>
      <c r="L46" s="894"/>
      <c r="M46" s="908"/>
      <c r="N46" s="34"/>
      <c r="P46" s="886" t="s">
        <v>1360</v>
      </c>
      <c r="Q46" s="886"/>
      <c r="R46" s="886"/>
      <c r="S46" s="886"/>
      <c r="T46" s="34"/>
      <c r="U46" s="336"/>
      <c r="W46" s="335"/>
      <c r="X46" s="335"/>
      <c r="Y46" s="335"/>
      <c r="Z46" s="34"/>
      <c r="AA46" s="34"/>
      <c r="AB46" s="984" t="str">
        <f>Eigaben!Z4</f>
        <v>37. Final Schweizer Cup 2025</v>
      </c>
      <c r="AC46" s="985"/>
      <c r="AD46" s="985"/>
      <c r="AE46" s="985"/>
      <c r="AF46" s="985"/>
      <c r="AG46" s="986"/>
      <c r="AH46" s="20"/>
    </row>
    <row r="47" spans="1:34" ht="8.15" customHeight="1" thickBot="1">
      <c r="A47" s="962"/>
      <c r="B47" s="884"/>
      <c r="C47" s="990" t="str">
        <f>Eigaben!K12</f>
        <v/>
      </c>
      <c r="D47" s="991"/>
      <c r="E47" s="991"/>
      <c r="F47" s="992" t="str">
        <f>IF(Eigaben!$N12=0,"",Eigaben!$N12)</f>
        <v/>
      </c>
      <c r="G47" s="962"/>
      <c r="H47" s="947">
        <v>64</v>
      </c>
      <c r="I47" s="901" t="str">
        <f>IF(H47=0," ",VLOOKUP($H47,Eigaben!$Y$17:$Z$94,2,1))</f>
        <v>STV Affeltrangen  ( NLA )</v>
      </c>
      <c r="J47" s="902"/>
      <c r="K47" s="903"/>
      <c r="L47" s="894">
        <f>IF(Eigaben!N34=0,"",Eigaben!N34)</f>
        <v>5</v>
      </c>
      <c r="M47" s="918"/>
      <c r="N47" s="336"/>
      <c r="P47" s="883"/>
      <c r="Q47" s="883"/>
      <c r="R47" s="883"/>
      <c r="S47" s="883"/>
      <c r="T47" s="34"/>
      <c r="U47" s="336"/>
      <c r="W47" s="335"/>
      <c r="X47" s="335"/>
      <c r="Y47" s="335"/>
      <c r="Z47" s="34"/>
      <c r="AA47" s="34"/>
      <c r="AB47" s="987"/>
      <c r="AC47" s="988"/>
      <c r="AD47" s="988"/>
      <c r="AE47" s="988"/>
      <c r="AF47" s="988"/>
      <c r="AG47" s="989"/>
      <c r="AH47" s="20"/>
    </row>
    <row r="48" spans="1:34" ht="8.15" customHeight="1" thickBot="1">
      <c r="A48" s="962"/>
      <c r="B48" s="884"/>
      <c r="C48" s="919"/>
      <c r="D48" s="921"/>
      <c r="E48" s="921"/>
      <c r="F48" s="976"/>
      <c r="G48" s="962"/>
      <c r="H48" s="947"/>
      <c r="I48" s="919"/>
      <c r="J48" s="920"/>
      <c r="K48" s="921"/>
      <c r="L48" s="922"/>
      <c r="M48" s="904"/>
      <c r="N48" s="337"/>
      <c r="O48" s="923">
        <v>20</v>
      </c>
      <c r="P48" s="887" t="str">
        <f>IF($L45=$L47," ",IF($L45&gt;$L47,$I45,$I47))</f>
        <v>STV Affeltrangen  ( NLA )</v>
      </c>
      <c r="Q48" s="888"/>
      <c r="R48" s="889"/>
      <c r="S48" s="893">
        <f>IF(Eigaben!$N$53=0,"",Eigaben!$N$53)</f>
        <v>5</v>
      </c>
      <c r="T48" s="904"/>
      <c r="U48" s="336"/>
      <c r="W48" s="335"/>
      <c r="X48" s="335"/>
      <c r="Y48" s="335"/>
      <c r="Z48" s="34"/>
      <c r="AA48" s="34"/>
      <c r="AB48" s="987"/>
      <c r="AC48" s="988"/>
      <c r="AD48" s="988"/>
      <c r="AE48" s="988"/>
      <c r="AF48" s="988"/>
      <c r="AG48" s="989"/>
      <c r="AH48" s="20"/>
    </row>
    <row r="49" spans="1:34" ht="10" customHeight="1" thickBot="1">
      <c r="A49" s="321"/>
      <c r="B49" s="34"/>
      <c r="C49" s="34"/>
      <c r="D49" s="34"/>
      <c r="E49" s="34"/>
      <c r="F49" s="34"/>
      <c r="G49" s="321"/>
      <c r="H49" s="34"/>
      <c r="I49" s="882" t="str">
        <f>zusammenfassung_25!H19</f>
        <v xml:space="preserve"> 7:11/11: 8/ 7:11/11:13/11:13/ 8:11</v>
      </c>
      <c r="J49" s="882"/>
      <c r="K49" s="882"/>
      <c r="L49" s="882"/>
      <c r="M49" s="34"/>
      <c r="N49" s="34"/>
      <c r="O49" s="923"/>
      <c r="P49" s="890"/>
      <c r="Q49" s="891"/>
      <c r="R49" s="892"/>
      <c r="S49" s="894"/>
      <c r="T49" s="905"/>
      <c r="U49" s="336"/>
      <c r="W49" s="335"/>
      <c r="X49" s="335"/>
      <c r="Y49" s="335"/>
      <c r="Z49" s="34"/>
      <c r="AA49" s="34"/>
      <c r="AB49" s="987"/>
      <c r="AC49" s="988"/>
      <c r="AD49" s="988"/>
      <c r="AE49" s="988"/>
      <c r="AF49" s="988"/>
      <c r="AG49" s="989"/>
      <c r="AH49" s="342"/>
    </row>
    <row r="50" spans="1:34" ht="10" customHeight="1" thickBot="1">
      <c r="A50" s="321"/>
      <c r="B50" s="34"/>
      <c r="C50" s="34"/>
      <c r="D50" s="34"/>
      <c r="E50" s="34"/>
      <c r="F50" s="34"/>
      <c r="G50" s="321"/>
      <c r="H50" s="34"/>
      <c r="I50" s="883"/>
      <c r="J50" s="883"/>
      <c r="K50" s="883"/>
      <c r="L50" s="883"/>
      <c r="M50" s="34"/>
      <c r="N50" s="339"/>
      <c r="O50" s="923"/>
      <c r="P50" s="911" t="str">
        <f>IF($L51=$L53," ",IF($L51&gt;$L53,$I51,$I53))</f>
        <v>SUS Widnau   ( NLA )</v>
      </c>
      <c r="Q50" s="912"/>
      <c r="R50" s="913"/>
      <c r="S50" s="894">
        <f>IF(Eigaben!$L$53=0,"",Eigaben!$L$53)</f>
        <v>3</v>
      </c>
      <c r="T50" s="895" t="s">
        <v>620</v>
      </c>
      <c r="U50" s="34"/>
      <c r="W50" s="335"/>
      <c r="X50" s="335"/>
      <c r="Y50" s="335"/>
      <c r="Z50" s="34"/>
      <c r="AA50" s="34"/>
      <c r="AB50" s="996" t="s">
        <v>1353</v>
      </c>
      <c r="AC50" s="997"/>
      <c r="AD50" s="997"/>
      <c r="AE50" s="997"/>
      <c r="AF50" s="997"/>
      <c r="AG50" s="998"/>
      <c r="AH50" s="342"/>
    </row>
    <row r="51" spans="1:34" ht="8.15" customHeight="1" thickBot="1">
      <c r="A51" s="962" t="s">
        <v>620</v>
      </c>
      <c r="B51" s="884"/>
      <c r="C51" s="898" t="str">
        <f>Eigaben!H13</f>
        <v/>
      </c>
      <c r="D51" s="899"/>
      <c r="E51" s="900"/>
      <c r="F51" s="972" t="str">
        <f>IF(Eigaben!$L13=0,"",Eigaben!$L13)</f>
        <v/>
      </c>
      <c r="G51" s="962">
        <v>8</v>
      </c>
      <c r="H51" s="947">
        <f>Eigaben!F35</f>
        <v>38</v>
      </c>
      <c r="I51" s="887" t="str">
        <f>IF(H51=0," ",VLOOKUP($H51,Eigaben!$Y$17:$Z$94,2,1))</f>
        <v>TSV Waldkirch ( 3. Liga F )</v>
      </c>
      <c r="J51" s="888"/>
      <c r="K51" s="889"/>
      <c r="L51" s="893">
        <f>IF(Eigaben!L35=0,"",Eigaben!L35)</f>
        <v>1</v>
      </c>
      <c r="M51" s="904"/>
      <c r="N51" s="336"/>
      <c r="O51" s="923"/>
      <c r="P51" s="914"/>
      <c r="Q51" s="915"/>
      <c r="R51" s="916"/>
      <c r="S51" s="922"/>
      <c r="T51" s="896"/>
      <c r="U51" s="34"/>
      <c r="W51" s="335"/>
      <c r="X51" s="335"/>
      <c r="Y51" s="335"/>
      <c r="Z51" s="34"/>
      <c r="AA51" s="34"/>
      <c r="AB51" s="996"/>
      <c r="AC51" s="997"/>
      <c r="AD51" s="997"/>
      <c r="AE51" s="997"/>
      <c r="AF51" s="997"/>
      <c r="AG51" s="998"/>
      <c r="AH51" s="342"/>
    </row>
    <row r="52" spans="1:34" ht="8.15" customHeight="1" thickBot="1">
      <c r="A52" s="962"/>
      <c r="B52" s="884"/>
      <c r="C52" s="901"/>
      <c r="D52" s="902"/>
      <c r="E52" s="903"/>
      <c r="F52" s="973"/>
      <c r="G52" s="962"/>
      <c r="H52" s="947"/>
      <c r="I52" s="890"/>
      <c r="J52" s="891"/>
      <c r="K52" s="892"/>
      <c r="L52" s="894"/>
      <c r="M52" s="905"/>
      <c r="N52" s="336"/>
      <c r="P52" s="34"/>
      <c r="Q52" s="34"/>
      <c r="R52" s="34"/>
      <c r="S52" s="172"/>
      <c r="T52" s="34"/>
      <c r="U52" s="34"/>
      <c r="W52" s="335"/>
      <c r="X52" s="335"/>
      <c r="Y52" s="335"/>
      <c r="Z52" s="34"/>
      <c r="AA52" s="34"/>
      <c r="AB52" s="996"/>
      <c r="AC52" s="997"/>
      <c r="AD52" s="997"/>
      <c r="AE52" s="997"/>
      <c r="AF52" s="997"/>
      <c r="AG52" s="998"/>
      <c r="AH52" s="342"/>
    </row>
    <row r="53" spans="1:34" ht="8.15" customHeight="1">
      <c r="A53" s="962"/>
      <c r="B53" s="884"/>
      <c r="C53" s="901" t="str">
        <f>Eigaben!K13</f>
        <v/>
      </c>
      <c r="D53" s="902"/>
      <c r="E53" s="903"/>
      <c r="F53" s="973" t="str">
        <f>IF(Eigaben!$N13=0,"",Eigaben!$N13)</f>
        <v/>
      </c>
      <c r="G53" s="962"/>
      <c r="H53" s="947">
        <v>70</v>
      </c>
      <c r="I53" s="924" t="str">
        <f>IF(H53=0," ",VLOOKUP($H53,Eigaben!$Y$17:$Z$94,2,1))</f>
        <v>SUS Widnau   ( NLA )</v>
      </c>
      <c r="J53" s="925"/>
      <c r="K53" s="926"/>
      <c r="L53" s="894">
        <f>IF(Eigaben!N35=0,"",Eigaben!N35)</f>
        <v>5</v>
      </c>
      <c r="M53" s="895"/>
      <c r="N53" s="34"/>
      <c r="P53" s="34"/>
      <c r="Q53" s="34"/>
      <c r="R53" s="34"/>
      <c r="S53" s="172"/>
      <c r="T53" s="34"/>
      <c r="U53" s="34"/>
      <c r="W53" s="335"/>
      <c r="X53" s="335"/>
      <c r="Y53" s="335"/>
      <c r="Z53" s="34"/>
      <c r="AA53" s="34"/>
      <c r="AB53" s="978" t="str">
        <f>IF(AG29=AG31," ",IF(AG29&gt;AG31,AD29,AD31))</f>
        <v>STV Affeltrangen  ( NLA )</v>
      </c>
      <c r="AC53" s="979"/>
      <c r="AD53" s="979"/>
      <c r="AE53" s="979"/>
      <c r="AF53" s="979"/>
      <c r="AG53" s="982"/>
      <c r="AH53" s="977"/>
    </row>
    <row r="54" spans="1:34" ht="8.15" customHeight="1" thickBot="1">
      <c r="A54" s="962"/>
      <c r="B54" s="884"/>
      <c r="C54" s="919"/>
      <c r="D54" s="920"/>
      <c r="E54" s="921"/>
      <c r="F54" s="976"/>
      <c r="G54" s="962"/>
      <c r="H54" s="947"/>
      <c r="I54" s="927"/>
      <c r="J54" s="928"/>
      <c r="K54" s="929"/>
      <c r="L54" s="922"/>
      <c r="M54" s="896"/>
      <c r="N54" s="34"/>
      <c r="P54" s="34"/>
      <c r="Q54" s="34"/>
      <c r="R54" s="34"/>
      <c r="S54" s="172"/>
      <c r="T54" s="34"/>
      <c r="U54" s="34"/>
      <c r="W54" s="335"/>
      <c r="X54" s="335"/>
      <c r="Y54" s="335"/>
      <c r="Z54" s="34"/>
      <c r="AA54" s="34"/>
      <c r="AB54" s="978"/>
      <c r="AC54" s="979"/>
      <c r="AD54" s="979"/>
      <c r="AE54" s="979"/>
      <c r="AF54" s="979"/>
      <c r="AG54" s="982"/>
      <c r="AH54" s="977"/>
    </row>
    <row r="55" spans="1:34" ht="10" customHeight="1">
      <c r="A55" s="321"/>
      <c r="B55" s="34"/>
      <c r="C55" s="34"/>
      <c r="D55" s="34"/>
      <c r="E55" s="34"/>
      <c r="F55" s="34"/>
      <c r="G55" s="321"/>
      <c r="H55" s="34"/>
      <c r="I55" s="882" t="str">
        <f>zusammenfassung_25!H20</f>
        <v xml:space="preserve"> 7:11/13:15/11:13/ 6:11 7:11</v>
      </c>
      <c r="J55" s="882"/>
      <c r="K55" s="882"/>
      <c r="L55" s="882"/>
      <c r="M55" s="34"/>
      <c r="N55" s="34"/>
      <c r="P55" s="34"/>
      <c r="Q55" s="34"/>
      <c r="R55" s="34"/>
      <c r="S55" s="172"/>
      <c r="T55" s="34"/>
      <c r="U55" s="34"/>
      <c r="W55" s="335"/>
      <c r="X55" s="335"/>
      <c r="Y55" s="335"/>
      <c r="Z55" s="34"/>
      <c r="AA55" s="34"/>
      <c r="AB55" s="978"/>
      <c r="AC55" s="979"/>
      <c r="AD55" s="979"/>
      <c r="AE55" s="979"/>
      <c r="AF55" s="979"/>
      <c r="AG55" s="982"/>
      <c r="AH55" s="977"/>
    </row>
    <row r="56" spans="1:34" ht="10" customHeight="1" thickBot="1">
      <c r="A56" s="321"/>
      <c r="B56" s="34"/>
      <c r="C56" s="34"/>
      <c r="D56" s="34"/>
      <c r="E56" s="34"/>
      <c r="F56" s="34"/>
      <c r="G56" s="321"/>
      <c r="H56" s="34"/>
      <c r="I56" s="883"/>
      <c r="J56" s="883"/>
      <c r="K56" s="883"/>
      <c r="L56" s="883"/>
      <c r="M56" s="34"/>
      <c r="N56" s="34"/>
      <c r="P56" s="34"/>
      <c r="Q56" s="34"/>
      <c r="R56" s="34"/>
      <c r="S56" s="172"/>
      <c r="T56" s="34"/>
      <c r="U56" s="34"/>
      <c r="W56" s="335"/>
      <c r="X56" s="335"/>
      <c r="Y56" s="335"/>
      <c r="Z56" s="34"/>
      <c r="AA56" s="34"/>
      <c r="AB56" s="978" t="str">
        <f>IF(AG78=AG80," ",IF(AG78&gt;AG80,AD78,AD80))</f>
        <v xml:space="preserve"> </v>
      </c>
      <c r="AC56" s="979"/>
      <c r="AD56" s="979"/>
      <c r="AE56" s="979"/>
      <c r="AF56" s="979"/>
      <c r="AG56" s="982" t="str">
        <f>IF(Eigaben!N83=0," ",Eigaben!N83)</f>
        <v xml:space="preserve"> </v>
      </c>
      <c r="AH56" s="342"/>
    </row>
    <row r="57" spans="1:34" ht="8.15" customHeight="1">
      <c r="A57" s="962" t="s">
        <v>362</v>
      </c>
      <c r="B57" s="884"/>
      <c r="C57" s="898" t="str">
        <f>Eigaben!H14</f>
        <v/>
      </c>
      <c r="D57" s="899"/>
      <c r="E57" s="900"/>
      <c r="F57" s="972" t="str">
        <f>IF(Eigaben!$L14=0,"",Eigaben!$L14)</f>
        <v/>
      </c>
      <c r="G57" s="962">
        <v>9</v>
      </c>
      <c r="H57" s="947">
        <f>Eigaben!F36</f>
        <v>51</v>
      </c>
      <c r="I57" s="887" t="str">
        <f>IF(H57=0," ",VLOOKUP($H57,Eigaben!$Y$17:$Z$94,2,1))</f>
        <v>STV Spreitenbach 1 ( 1. Liga W )</v>
      </c>
      <c r="J57" s="888"/>
      <c r="K57" s="889"/>
      <c r="L57" s="893">
        <v>0</v>
      </c>
      <c r="M57" s="896"/>
      <c r="N57" s="34"/>
      <c r="P57" s="34"/>
      <c r="Q57" s="34"/>
      <c r="R57" s="34"/>
      <c r="S57" s="172"/>
      <c r="T57" s="34"/>
      <c r="U57" s="34"/>
      <c r="W57" s="335"/>
      <c r="X57" s="335"/>
      <c r="Y57" s="335"/>
      <c r="Z57" s="34"/>
      <c r="AA57" s="34"/>
      <c r="AB57" s="978"/>
      <c r="AC57" s="979"/>
      <c r="AD57" s="979"/>
      <c r="AE57" s="979"/>
      <c r="AF57" s="979"/>
      <c r="AG57" s="982"/>
      <c r="AH57" s="342"/>
    </row>
    <row r="58" spans="1:34" ht="8.15" customHeight="1" thickBot="1">
      <c r="A58" s="962"/>
      <c r="B58" s="884"/>
      <c r="C58" s="901"/>
      <c r="D58" s="902"/>
      <c r="E58" s="903"/>
      <c r="F58" s="973"/>
      <c r="G58" s="962"/>
      <c r="H58" s="947"/>
      <c r="I58" s="890"/>
      <c r="J58" s="891"/>
      <c r="K58" s="892"/>
      <c r="L58" s="894"/>
      <c r="M58" s="908"/>
      <c r="N58" s="34"/>
      <c r="P58" s="886" t="s">
        <v>1343</v>
      </c>
      <c r="Q58" s="886"/>
      <c r="R58" s="886"/>
      <c r="S58" s="172"/>
      <c r="T58" s="34"/>
      <c r="U58" s="34"/>
      <c r="W58" s="335"/>
      <c r="X58" s="335"/>
      <c r="Y58" s="335"/>
      <c r="Z58" s="34"/>
      <c r="AA58" s="34"/>
      <c r="AB58" s="980"/>
      <c r="AC58" s="981"/>
      <c r="AD58" s="981"/>
      <c r="AE58" s="981"/>
      <c r="AF58" s="981"/>
      <c r="AG58" s="983"/>
      <c r="AH58" s="342"/>
    </row>
    <row r="59" spans="1:34" ht="8.15" customHeight="1" thickBot="1">
      <c r="A59" s="962"/>
      <c r="B59" s="884"/>
      <c r="C59" s="901" t="str">
        <f>Eigaben!K14</f>
        <v/>
      </c>
      <c r="D59" s="902"/>
      <c r="E59" s="903"/>
      <c r="F59" s="973" t="str">
        <f>IF(Eigaben!$N14=0,"",Eigaben!$N14)</f>
        <v/>
      </c>
      <c r="G59" s="962"/>
      <c r="H59" s="947">
        <v>68</v>
      </c>
      <c r="I59" s="924" t="str">
        <f>IF(H59=0," ",VLOOKUP($H59,Eigaben!$Y$17:$Z$94,2,1))</f>
        <v>STV Oberentfelden   ( NLA )</v>
      </c>
      <c r="J59" s="925"/>
      <c r="K59" s="926"/>
      <c r="L59" s="894">
        <f>IF(Eigaben!N36=0,"",Eigaben!N36)</f>
        <v>5</v>
      </c>
      <c r="M59" s="918"/>
      <c r="N59" s="336"/>
      <c r="P59" s="883"/>
      <c r="Q59" s="883"/>
      <c r="R59" s="883"/>
      <c r="S59" s="172"/>
      <c r="T59" s="34"/>
      <c r="U59" s="34"/>
      <c r="W59" s="335"/>
      <c r="X59" s="335"/>
      <c r="Y59" s="335"/>
      <c r="Z59" s="34"/>
      <c r="AA59" s="34"/>
      <c r="AB59" s="34"/>
      <c r="AD59" s="170"/>
      <c r="AE59" s="170"/>
      <c r="AF59" s="170"/>
      <c r="AG59" s="170"/>
      <c r="AH59" s="342"/>
    </row>
    <row r="60" spans="1:34" ht="8.15" customHeight="1" thickBot="1">
      <c r="A60" s="962"/>
      <c r="B60" s="884"/>
      <c r="C60" s="919"/>
      <c r="D60" s="920"/>
      <c r="E60" s="921"/>
      <c r="F60" s="976"/>
      <c r="G60" s="962"/>
      <c r="H60" s="947"/>
      <c r="I60" s="927"/>
      <c r="J60" s="928"/>
      <c r="K60" s="929"/>
      <c r="L60" s="922"/>
      <c r="M60" s="904"/>
      <c r="N60" s="337"/>
      <c r="O60" s="923">
        <v>21</v>
      </c>
      <c r="P60" s="887" t="str">
        <f>IF($L57=$L59," ",IF($L57&gt;$L59,$I57,$I59))</f>
        <v>STV Oberentfelden   ( NLA )</v>
      </c>
      <c r="Q60" s="888"/>
      <c r="R60" s="889"/>
      <c r="S60" s="893">
        <f>Eigaben!N54</f>
        <v>5</v>
      </c>
      <c r="T60" s="896" t="s">
        <v>620</v>
      </c>
      <c r="U60" s="34"/>
      <c r="W60" s="335"/>
      <c r="X60" s="335"/>
      <c r="Y60" s="335"/>
      <c r="Z60" s="34"/>
      <c r="AA60" s="34"/>
      <c r="AB60" s="34"/>
      <c r="AD60" s="34"/>
      <c r="AE60" s="34"/>
      <c r="AF60" s="34"/>
      <c r="AG60" s="34"/>
      <c r="AH60" s="20"/>
    </row>
    <row r="61" spans="1:34" ht="10" customHeight="1" thickBot="1">
      <c r="A61" s="321"/>
      <c r="B61" s="34"/>
      <c r="C61" s="34"/>
      <c r="D61" s="34"/>
      <c r="E61" s="34"/>
      <c r="F61" s="34"/>
      <c r="G61" s="321"/>
      <c r="H61" s="34"/>
      <c r="I61" s="882" t="str">
        <f>zusammenfassung_25!H21</f>
        <v xml:space="preserve"> 6:11/ 6:11/ 7:11/ 8:11/ 9:11</v>
      </c>
      <c r="J61" s="882"/>
      <c r="K61" s="882"/>
      <c r="L61" s="882"/>
      <c r="M61" s="34"/>
      <c r="N61" s="34"/>
      <c r="O61" s="923"/>
      <c r="P61" s="890"/>
      <c r="Q61" s="891"/>
      <c r="R61" s="892"/>
      <c r="S61" s="894"/>
      <c r="T61" s="908"/>
      <c r="U61" s="34"/>
      <c r="W61" s="335"/>
      <c r="X61" s="335"/>
      <c r="Y61" s="335"/>
      <c r="Z61" s="34"/>
      <c r="AA61" s="34"/>
      <c r="AB61" s="34"/>
      <c r="AD61" s="34"/>
      <c r="AE61" s="34"/>
      <c r="AF61" s="34"/>
      <c r="AG61" s="34"/>
      <c r="AH61" s="20"/>
    </row>
    <row r="62" spans="1:34" ht="10" customHeight="1" thickBot="1">
      <c r="A62" s="321"/>
      <c r="B62" s="34"/>
      <c r="C62" s="34"/>
      <c r="D62" s="34"/>
      <c r="E62" s="34"/>
      <c r="F62" s="34"/>
      <c r="G62" s="321"/>
      <c r="H62" s="34"/>
      <c r="I62" s="883"/>
      <c r="J62" s="883"/>
      <c r="K62" s="883"/>
      <c r="L62" s="883"/>
      <c r="M62" s="34"/>
      <c r="N62" s="339"/>
      <c r="O62" s="923"/>
      <c r="P62" s="911" t="str">
        <f>IF($L63=$L65," ",IF($L63&gt;$L65,$I63,$I65))</f>
        <v>STV Vordemwald 1 ( NLB W )</v>
      </c>
      <c r="Q62" s="912"/>
      <c r="R62" s="913"/>
      <c r="S62" s="894">
        <f>IF(Eigaben!$L$54=0,"",Eigaben!$L$54)</f>
        <v>1</v>
      </c>
      <c r="T62" s="918"/>
      <c r="U62" s="336"/>
      <c r="W62" s="335"/>
      <c r="X62" s="335"/>
      <c r="Y62" s="335"/>
      <c r="Z62" s="34"/>
      <c r="AA62" s="34"/>
      <c r="AB62" s="34"/>
      <c r="AD62" s="34"/>
      <c r="AE62" s="34"/>
      <c r="AF62" s="34"/>
      <c r="AG62" s="34"/>
      <c r="AH62" s="20"/>
    </row>
    <row r="63" spans="1:34" ht="8.15" customHeight="1" thickBot="1">
      <c r="A63" s="962" t="s">
        <v>621</v>
      </c>
      <c r="B63" s="884"/>
      <c r="C63" s="898" t="str">
        <f>Eigaben!H15</f>
        <v/>
      </c>
      <c r="D63" s="899"/>
      <c r="E63" s="900"/>
      <c r="F63" s="970" t="str">
        <f>IF(Eigaben!$L15=0,"",Eigaben!$L15)</f>
        <v/>
      </c>
      <c r="G63" s="962">
        <v>10</v>
      </c>
      <c r="H63" s="947">
        <f>Eigaben!F37</f>
        <v>49</v>
      </c>
      <c r="I63" s="898" t="str">
        <f>IF(H63=0," ",VLOOKUP($H63,Eigaben!$Y$17:$Z$94,2,1))</f>
        <v>FB Burgdorf (1. Liga  W)</v>
      </c>
      <c r="J63" s="899"/>
      <c r="K63" s="900"/>
      <c r="L63" s="893">
        <v>0</v>
      </c>
      <c r="M63" s="904"/>
      <c r="N63" s="336"/>
      <c r="O63" s="923"/>
      <c r="P63" s="914"/>
      <c r="Q63" s="915"/>
      <c r="R63" s="916"/>
      <c r="S63" s="922"/>
      <c r="T63" s="904"/>
      <c r="U63" s="336"/>
      <c r="W63" s="335"/>
      <c r="X63" s="335"/>
      <c r="Y63" s="335"/>
      <c r="Z63" s="34"/>
      <c r="AA63" s="34"/>
      <c r="AB63" s="34"/>
      <c r="AD63" s="34"/>
      <c r="AE63" s="34"/>
      <c r="AF63" s="34"/>
      <c r="AG63" s="34"/>
      <c r="AH63" s="20"/>
    </row>
    <row r="64" spans="1:34" ht="8.15" customHeight="1" thickBot="1">
      <c r="A64" s="962"/>
      <c r="B64" s="884"/>
      <c r="C64" s="901"/>
      <c r="D64" s="902"/>
      <c r="E64" s="903"/>
      <c r="F64" s="971"/>
      <c r="G64" s="962"/>
      <c r="H64" s="947"/>
      <c r="I64" s="901"/>
      <c r="J64" s="902"/>
      <c r="K64" s="903"/>
      <c r="L64" s="894"/>
      <c r="M64" s="905"/>
      <c r="N64" s="336"/>
      <c r="P64" s="34"/>
      <c r="Q64" s="34"/>
      <c r="R64" s="34"/>
      <c r="S64" s="172"/>
      <c r="T64" s="34"/>
      <c r="U64" s="336"/>
      <c r="W64" s="886" t="s">
        <v>1366</v>
      </c>
      <c r="X64" s="886"/>
      <c r="Y64" s="886"/>
      <c r="Z64" s="34"/>
      <c r="AA64" s="34"/>
      <c r="AB64" s="34"/>
      <c r="AD64" s="34"/>
      <c r="AE64" s="34"/>
      <c r="AF64" s="34"/>
      <c r="AG64" s="34"/>
      <c r="AH64" s="20"/>
    </row>
    <row r="65" spans="1:34" ht="8.15" customHeight="1" thickBot="1">
      <c r="A65" s="962"/>
      <c r="B65" s="884"/>
      <c r="C65" s="901" t="str">
        <f>Eigaben!K15</f>
        <v/>
      </c>
      <c r="D65" s="902"/>
      <c r="E65" s="903"/>
      <c r="F65" s="974" t="str">
        <f>IF(Eigaben!$N15=0,"",Eigaben!$N15)</f>
        <v/>
      </c>
      <c r="G65" s="962"/>
      <c r="H65" s="947">
        <v>63</v>
      </c>
      <c r="I65" s="901" t="str">
        <f>IF(H65=0," ",VLOOKUP($H65,Eigaben!$Y$17:$Z$94,2,1))</f>
        <v>STV Vordemwald 1 ( NLB W )</v>
      </c>
      <c r="J65" s="902"/>
      <c r="K65" s="903"/>
      <c r="L65" s="894">
        <f>IF(Eigaben!N37=0,"",Eigaben!N37)</f>
        <v>5</v>
      </c>
      <c r="M65" s="895"/>
      <c r="N65" s="34"/>
      <c r="P65" s="34"/>
      <c r="Q65" s="34"/>
      <c r="R65" s="34"/>
      <c r="S65" s="172"/>
      <c r="T65" s="34"/>
      <c r="U65" s="336"/>
      <c r="W65" s="883"/>
      <c r="X65" s="883"/>
      <c r="Y65" s="883"/>
      <c r="Z65" s="34"/>
      <c r="AA65" s="34"/>
      <c r="AB65" s="34"/>
      <c r="AD65" s="34"/>
      <c r="AE65" s="34"/>
      <c r="AF65" s="34"/>
      <c r="AG65" s="34"/>
      <c r="AH65" s="20"/>
    </row>
    <row r="66" spans="1:34" ht="8.15" customHeight="1" thickBot="1">
      <c r="A66" s="962"/>
      <c r="B66" s="884"/>
      <c r="C66" s="919"/>
      <c r="D66" s="920"/>
      <c r="E66" s="921"/>
      <c r="F66" s="975"/>
      <c r="G66" s="962"/>
      <c r="H66" s="947"/>
      <c r="I66" s="919"/>
      <c r="J66" s="920"/>
      <c r="K66" s="921"/>
      <c r="L66" s="922"/>
      <c r="M66" s="896"/>
      <c r="N66" s="34"/>
      <c r="P66" s="34"/>
      <c r="Q66" s="34"/>
      <c r="R66" s="34"/>
      <c r="S66" s="172"/>
      <c r="T66" s="34"/>
      <c r="U66" s="337"/>
      <c r="V66" s="923">
        <v>27</v>
      </c>
      <c r="W66" s="887" t="str">
        <f>IF($S60=$S62," ",IF($S60&gt;$S62,$P60,$P62))</f>
        <v>STV Oberentfelden   ( NLA )</v>
      </c>
      <c r="X66" s="888"/>
      <c r="Y66" s="889"/>
      <c r="Z66" s="909">
        <f>Eigaben!N66</f>
        <v>0</v>
      </c>
      <c r="AA66" s="896"/>
      <c r="AB66" s="34"/>
      <c r="AD66" s="34"/>
      <c r="AE66" s="34"/>
      <c r="AF66" s="34"/>
      <c r="AG66" s="34"/>
      <c r="AH66" s="20"/>
    </row>
    <row r="67" spans="1:34" ht="10" customHeight="1" thickBot="1">
      <c r="A67" s="321"/>
      <c r="B67" s="34"/>
      <c r="C67" s="34"/>
      <c r="D67" s="34"/>
      <c r="E67" s="34"/>
      <c r="F67" s="34"/>
      <c r="G67" s="321"/>
      <c r="H67" s="34"/>
      <c r="I67" s="882" t="str">
        <f>zusammenfassung_25!H22</f>
        <v>11: 6/11: 9/ 9:11/11: 5/11: 3/11 :5</v>
      </c>
      <c r="J67" s="882"/>
      <c r="K67" s="882"/>
      <c r="L67" s="882"/>
      <c r="M67" s="34"/>
      <c r="N67" s="34"/>
      <c r="P67" s="34"/>
      <c r="Q67" s="34"/>
      <c r="R67" s="34"/>
      <c r="S67" s="172"/>
      <c r="T67" s="34"/>
      <c r="U67" s="34"/>
      <c r="V67" s="923"/>
      <c r="W67" s="890"/>
      <c r="X67" s="891"/>
      <c r="Y67" s="892"/>
      <c r="Z67" s="910"/>
      <c r="AA67" s="908"/>
      <c r="AB67" s="34"/>
      <c r="AD67" s="34"/>
      <c r="AE67" s="34"/>
      <c r="AF67" s="34"/>
      <c r="AG67" s="34"/>
      <c r="AH67" s="20"/>
    </row>
    <row r="68" spans="1:34" ht="10" customHeight="1" thickBot="1">
      <c r="A68" s="321"/>
      <c r="B68" s="34"/>
      <c r="C68" s="34"/>
      <c r="D68" s="34"/>
      <c r="E68" s="34"/>
      <c r="F68" s="34"/>
      <c r="G68" s="321"/>
      <c r="H68" s="34"/>
      <c r="I68" s="883"/>
      <c r="J68" s="883"/>
      <c r="K68" s="883"/>
      <c r="L68" s="883"/>
      <c r="M68" s="34"/>
      <c r="N68" s="34"/>
      <c r="P68" s="34"/>
      <c r="Q68" s="34"/>
      <c r="R68" s="34"/>
      <c r="S68" s="172"/>
      <c r="T68" s="34"/>
      <c r="U68" s="339"/>
      <c r="V68" s="923"/>
      <c r="W68" s="911" t="str">
        <f>IF($S72=$S74," ",IF($S72&gt;$S74,$P72,$P74))</f>
        <v>STV Oberentfelden   ( 2. Liga )</v>
      </c>
      <c r="X68" s="912"/>
      <c r="Y68" s="913"/>
      <c r="Z68" s="910">
        <f>Eigaben!L66</f>
        <v>5</v>
      </c>
      <c r="AA68" s="918" t="s">
        <v>620</v>
      </c>
      <c r="AB68" s="336"/>
      <c r="AD68" s="34"/>
      <c r="AE68" s="34"/>
      <c r="AF68" s="34"/>
      <c r="AG68" s="34"/>
      <c r="AH68" s="20"/>
    </row>
    <row r="69" spans="1:34" ht="8.15" customHeight="1" thickBot="1">
      <c r="A69" s="962"/>
      <c r="B69" s="884"/>
      <c r="C69" s="330"/>
      <c r="D69" s="330"/>
      <c r="E69" s="963"/>
      <c r="F69" s="884"/>
      <c r="G69" s="962">
        <v>11</v>
      </c>
      <c r="H69" s="947">
        <v>60</v>
      </c>
      <c r="I69" s="887" t="str">
        <f>IF(H69=0," ",VLOOKUP($H69,Eigaben!$Y$17:$Z$94,2,1))</f>
        <v>STV Schlieren ( NLB O )</v>
      </c>
      <c r="J69" s="888"/>
      <c r="K69" s="889"/>
      <c r="L69" s="893">
        <f>IF(Eigaben!L38=0,"",Eigaben!L38)</f>
        <v>5</v>
      </c>
      <c r="M69" s="34"/>
      <c r="N69" s="34"/>
      <c r="P69" s="34"/>
      <c r="Q69" s="34"/>
      <c r="R69" s="34"/>
      <c r="S69" s="172"/>
      <c r="T69" s="34"/>
      <c r="U69" s="336"/>
      <c r="V69" s="923"/>
      <c r="W69" s="914"/>
      <c r="X69" s="915"/>
      <c r="Y69" s="916"/>
      <c r="Z69" s="917"/>
      <c r="AA69" s="904"/>
      <c r="AB69" s="336"/>
      <c r="AD69" s="34"/>
      <c r="AE69" s="34"/>
      <c r="AF69" s="34"/>
      <c r="AG69" s="34"/>
      <c r="AH69" s="20"/>
    </row>
    <row r="70" spans="1:34" ht="8.15" customHeight="1" thickBot="1">
      <c r="A70" s="962"/>
      <c r="B70" s="884"/>
      <c r="C70" s="330"/>
      <c r="D70" s="330"/>
      <c r="E70" s="963"/>
      <c r="F70" s="884"/>
      <c r="G70" s="962"/>
      <c r="H70" s="947"/>
      <c r="I70" s="890"/>
      <c r="J70" s="891"/>
      <c r="K70" s="892"/>
      <c r="L70" s="894"/>
      <c r="M70" s="339"/>
      <c r="N70" s="34"/>
      <c r="P70" s="886" t="s">
        <v>1356</v>
      </c>
      <c r="Q70" s="886"/>
      <c r="R70" s="886"/>
      <c r="S70" s="886"/>
      <c r="T70" s="34"/>
      <c r="U70" s="336"/>
      <c r="W70" s="335"/>
      <c r="X70" s="335"/>
      <c r="Y70" s="335"/>
      <c r="Z70" s="34"/>
      <c r="AA70" s="34"/>
      <c r="AB70" s="336"/>
      <c r="AD70" s="34"/>
      <c r="AE70" s="34"/>
      <c r="AF70" s="34"/>
      <c r="AG70" s="34"/>
      <c r="AH70" s="20"/>
    </row>
    <row r="71" spans="1:34" ht="8.15" customHeight="1" thickBot="1">
      <c r="A71" s="962"/>
      <c r="B71" s="884"/>
      <c r="C71" s="330"/>
      <c r="D71" s="330"/>
      <c r="E71" s="963"/>
      <c r="F71" s="884"/>
      <c r="G71" s="962"/>
      <c r="H71" s="947">
        <v>62</v>
      </c>
      <c r="I71" s="931" t="str">
        <f>IF(H71=0," ",VLOOKUP($H71,Eigaben!$Y$17:$Z$94,2,1))</f>
        <v>FB Schwellbrunn ( NLB  O)</v>
      </c>
      <c r="J71" s="932"/>
      <c r="K71" s="933"/>
      <c r="L71" s="894">
        <f>IF(Eigaben!N38=0,"",Eigaben!N38)</f>
        <v>1</v>
      </c>
      <c r="M71" s="34"/>
      <c r="N71" s="336"/>
      <c r="P71" s="883"/>
      <c r="Q71" s="883"/>
      <c r="R71" s="883"/>
      <c r="S71" s="883"/>
      <c r="T71" s="34"/>
      <c r="U71" s="336"/>
      <c r="W71" s="335"/>
      <c r="X71" s="335"/>
      <c r="Y71" s="335"/>
      <c r="Z71" s="34"/>
      <c r="AA71" s="34"/>
      <c r="AB71" s="336"/>
      <c r="AD71" s="34"/>
      <c r="AE71" s="34"/>
      <c r="AF71" s="34"/>
      <c r="AG71" s="34"/>
      <c r="AH71" s="20"/>
    </row>
    <row r="72" spans="1:34" ht="8.15" customHeight="1" thickBot="1">
      <c r="A72" s="962"/>
      <c r="B72" s="884"/>
      <c r="C72" s="330"/>
      <c r="D72" s="330"/>
      <c r="E72" s="963"/>
      <c r="F72" s="884"/>
      <c r="G72" s="962"/>
      <c r="H72" s="947"/>
      <c r="I72" s="934"/>
      <c r="J72" s="969"/>
      <c r="K72" s="935"/>
      <c r="L72" s="922"/>
      <c r="M72" s="34"/>
      <c r="N72" s="337"/>
      <c r="O72" s="923">
        <v>22</v>
      </c>
      <c r="P72" s="887" t="str">
        <f>IF($L69=$L71," ",IF($L69&gt;$L71,$I69,$I71))</f>
        <v>STV Schlieren ( NLB O )</v>
      </c>
      <c r="Q72" s="888"/>
      <c r="R72" s="889"/>
      <c r="S72" s="893">
        <v>0</v>
      </c>
      <c r="T72" s="904"/>
      <c r="U72" s="336"/>
      <c r="W72" s="335"/>
      <c r="X72" s="335"/>
      <c r="Y72" s="335"/>
      <c r="Z72" s="34"/>
      <c r="AA72" s="34"/>
      <c r="AB72" s="336"/>
      <c r="AD72" s="34"/>
      <c r="AE72" s="34"/>
      <c r="AF72" s="34"/>
      <c r="AG72" s="34"/>
      <c r="AH72" s="20"/>
    </row>
    <row r="73" spans="1:34" ht="10" customHeight="1" thickBot="1">
      <c r="A73" s="321"/>
      <c r="B73" s="34"/>
      <c r="C73" s="34"/>
      <c r="D73" s="34"/>
      <c r="E73" s="34"/>
      <c r="F73" s="34"/>
      <c r="G73" s="321"/>
      <c r="H73" s="34"/>
      <c r="I73" s="882" t="str">
        <f>zusammenfassung_25!H23</f>
        <v>11: 3/11: 4/11: 6/11: 5/11: 7</v>
      </c>
      <c r="J73" s="882"/>
      <c r="K73" s="882"/>
      <c r="L73" s="882"/>
      <c r="M73" s="34"/>
      <c r="N73" s="34"/>
      <c r="O73" s="923"/>
      <c r="P73" s="890"/>
      <c r="Q73" s="891"/>
      <c r="R73" s="892"/>
      <c r="S73" s="897"/>
      <c r="T73" s="905"/>
      <c r="U73" s="336"/>
      <c r="W73" s="335"/>
      <c r="X73" s="335"/>
      <c r="Y73" s="335"/>
      <c r="Z73" s="34"/>
      <c r="AA73" s="34"/>
      <c r="AB73" s="336"/>
      <c r="AD73" s="34"/>
      <c r="AE73" s="34"/>
      <c r="AF73" s="34"/>
      <c r="AG73" s="34"/>
      <c r="AH73" s="20"/>
    </row>
    <row r="74" spans="1:34" ht="10" customHeight="1" thickBot="1">
      <c r="A74" s="321"/>
      <c r="B74" s="34"/>
      <c r="C74" s="967" t="s">
        <v>1122</v>
      </c>
      <c r="D74" s="967"/>
      <c r="E74" s="967"/>
      <c r="F74" s="34"/>
      <c r="G74" s="321"/>
      <c r="H74" s="34"/>
      <c r="I74" s="883"/>
      <c r="J74" s="883"/>
      <c r="K74" s="883"/>
      <c r="L74" s="883"/>
      <c r="M74" s="34"/>
      <c r="N74" s="339"/>
      <c r="O74" s="923"/>
      <c r="P74" s="931" t="str">
        <f>IF($L75=$L77," ",IF($L75&gt;$L77,$I75,$I77))</f>
        <v>STV Oberentfelden   ( 2. Liga )</v>
      </c>
      <c r="Q74" s="932"/>
      <c r="R74" s="933"/>
      <c r="S74" s="936">
        <f>IF(Eigaben!L55=0," ",Eigaben!L55)</f>
        <v>5</v>
      </c>
      <c r="T74" s="895" t="s">
        <v>620</v>
      </c>
      <c r="U74" s="34"/>
      <c r="W74" s="335"/>
      <c r="X74" s="335"/>
      <c r="Y74" s="335"/>
      <c r="Z74" s="34"/>
      <c r="AA74" s="34"/>
      <c r="AB74" s="336"/>
      <c r="AD74" s="34"/>
      <c r="AE74" s="34"/>
      <c r="AF74" s="34"/>
      <c r="AG74" s="34"/>
      <c r="AH74" s="20"/>
    </row>
    <row r="75" spans="1:34" ht="8.15" customHeight="1" thickBot="1">
      <c r="A75" s="962"/>
      <c r="B75" s="884"/>
      <c r="C75" s="967"/>
      <c r="D75" s="967"/>
      <c r="E75" s="967"/>
      <c r="F75" s="884"/>
      <c r="G75" s="962">
        <v>12</v>
      </c>
      <c r="H75" s="947">
        <v>44</v>
      </c>
      <c r="I75" s="898" t="str">
        <f>IF(H75=0," ",VLOOKUP($H75,Eigaben!$Y$17:$Z$94,2,1))</f>
        <v>STV Oberentfelden   ( 2. Liga )</v>
      </c>
      <c r="J75" s="899"/>
      <c r="K75" s="900"/>
      <c r="L75" s="893">
        <f>IF(Eigaben!L39=0,"",Eigaben!L39)</f>
        <v>5</v>
      </c>
      <c r="M75" s="904"/>
      <c r="N75" s="336"/>
      <c r="O75" s="923"/>
      <c r="P75" s="934"/>
      <c r="Q75" s="915"/>
      <c r="R75" s="935"/>
      <c r="S75" s="937"/>
      <c r="T75" s="896"/>
      <c r="U75" s="34"/>
      <c r="W75" s="335"/>
      <c r="X75" s="335"/>
      <c r="Y75" s="335"/>
      <c r="Z75" s="34"/>
      <c r="AA75" s="34"/>
      <c r="AB75" s="336"/>
      <c r="AD75" s="34"/>
      <c r="AE75" s="34"/>
      <c r="AF75" s="34"/>
      <c r="AG75" s="34"/>
      <c r="AH75" s="20"/>
    </row>
    <row r="76" spans="1:34" ht="8.15" customHeight="1" thickBot="1">
      <c r="A76" s="962"/>
      <c r="B76" s="884"/>
      <c r="C76" s="967"/>
      <c r="D76" s="967"/>
      <c r="E76" s="967"/>
      <c r="F76" s="884"/>
      <c r="G76" s="962"/>
      <c r="H76" s="947"/>
      <c r="I76" s="901"/>
      <c r="J76" s="902"/>
      <c r="K76" s="903"/>
      <c r="L76" s="894"/>
      <c r="M76" s="905"/>
      <c r="N76" s="336"/>
      <c r="P76" s="34"/>
      <c r="Q76" s="34"/>
      <c r="R76" s="34"/>
      <c r="S76" s="172"/>
      <c r="T76" s="34"/>
      <c r="U76" s="34"/>
      <c r="W76" s="335"/>
      <c r="X76" s="335"/>
      <c r="Y76" s="335"/>
      <c r="Z76" s="34"/>
      <c r="AA76" s="34"/>
      <c r="AB76" s="336"/>
      <c r="AD76" s="34"/>
      <c r="AE76" s="34"/>
      <c r="AF76" s="34"/>
      <c r="AG76" s="884"/>
      <c r="AH76" s="20"/>
    </row>
    <row r="77" spans="1:34" ht="8.15" customHeight="1" thickBot="1">
      <c r="A77" s="962"/>
      <c r="B77" s="884"/>
      <c r="C77" s="967"/>
      <c r="D77" s="967"/>
      <c r="E77" s="967"/>
      <c r="F77" s="884"/>
      <c r="G77" s="962"/>
      <c r="H77" s="947">
        <v>57</v>
      </c>
      <c r="I77" s="901" t="str">
        <f>IF(H77=0," ",VLOOKUP($H77,Eigaben!$Y$17:$Z$94,2,1))</f>
        <v>STV Kirchberg  ( NLB W )</v>
      </c>
      <c r="J77" s="902"/>
      <c r="K77" s="903"/>
      <c r="L77" s="894">
        <v>0</v>
      </c>
      <c r="M77" s="895"/>
      <c r="N77" s="34"/>
      <c r="P77" s="34"/>
      <c r="Q77" s="34"/>
      <c r="R77" s="34"/>
      <c r="S77" s="172"/>
      <c r="T77" s="34"/>
      <c r="U77" s="34"/>
      <c r="W77" s="335"/>
      <c r="X77" s="335"/>
      <c r="Y77" s="335"/>
      <c r="Z77" s="34"/>
      <c r="AA77" s="34"/>
      <c r="AB77" s="336"/>
      <c r="AD77" s="34"/>
      <c r="AE77" s="34"/>
      <c r="AF77" s="34"/>
      <c r="AG77" s="885"/>
      <c r="AH77" s="20"/>
    </row>
    <row r="78" spans="1:34" ht="8.15" customHeight="1" thickBot="1">
      <c r="A78" s="962"/>
      <c r="B78" s="884"/>
      <c r="C78" s="967"/>
      <c r="D78" s="967"/>
      <c r="E78" s="967"/>
      <c r="F78" s="884"/>
      <c r="G78" s="962"/>
      <c r="H78" s="947"/>
      <c r="I78" s="919"/>
      <c r="J78" s="920"/>
      <c r="K78" s="921"/>
      <c r="L78" s="922"/>
      <c r="M78" s="896"/>
      <c r="N78" s="34"/>
      <c r="P78" s="34"/>
      <c r="Q78" s="34"/>
      <c r="R78" s="34"/>
      <c r="S78" s="172"/>
      <c r="T78" s="34"/>
      <c r="U78" s="34"/>
      <c r="W78" s="335"/>
      <c r="X78" s="335"/>
      <c r="Y78" s="335"/>
      <c r="Z78" s="34"/>
      <c r="AA78" s="343"/>
      <c r="AB78" s="339"/>
      <c r="AC78" s="962">
        <v>30</v>
      </c>
      <c r="AD78" s="887" t="str">
        <f>IF($Z66=$Z68," ",IF($Z66&gt;$Z68,$W66,$W68))</f>
        <v>STV Oberentfelden   ( 2. Liga )</v>
      </c>
      <c r="AE78" s="888"/>
      <c r="AF78" s="889"/>
      <c r="AG78" s="909" t="str">
        <f>IF(Eigaben!L74=0," ",Eigaben!L74)</f>
        <v xml:space="preserve"> </v>
      </c>
      <c r="AH78" s="20"/>
    </row>
    <row r="79" spans="1:34" ht="10" customHeight="1">
      <c r="A79" s="321"/>
      <c r="B79" s="34"/>
      <c r="C79" s="968"/>
      <c r="D79" s="968"/>
      <c r="E79" s="968"/>
      <c r="F79" s="34"/>
      <c r="G79" s="321"/>
      <c r="H79" s="34"/>
      <c r="I79" s="882" t="str">
        <f>zusammenfassung_25!H24</f>
        <v>11: 7/ 9:11/11: 8/15:14/11: 8/ 9:11/11: 6</v>
      </c>
      <c r="J79" s="882"/>
      <c r="K79" s="882"/>
      <c r="L79" s="882"/>
      <c r="M79" s="34"/>
      <c r="N79" s="34"/>
      <c r="P79" s="34"/>
      <c r="Q79" s="34"/>
      <c r="R79" s="34"/>
      <c r="S79" s="172"/>
      <c r="T79" s="34"/>
      <c r="U79" s="34"/>
      <c r="W79" s="335"/>
      <c r="X79" s="335"/>
      <c r="Y79" s="335"/>
      <c r="Z79" s="34"/>
      <c r="AA79" s="34"/>
      <c r="AB79" s="34"/>
      <c r="AC79" s="962"/>
      <c r="AD79" s="890"/>
      <c r="AE79" s="891"/>
      <c r="AF79" s="892"/>
      <c r="AG79" s="910"/>
      <c r="AH79" s="20"/>
    </row>
    <row r="80" spans="1:34" ht="10" customHeight="1" thickBot="1">
      <c r="A80" s="321"/>
      <c r="B80" s="34"/>
      <c r="C80" s="34"/>
      <c r="D80" s="34"/>
      <c r="E80" s="34"/>
      <c r="F80" s="34"/>
      <c r="G80" s="321"/>
      <c r="H80" s="34"/>
      <c r="I80" s="883"/>
      <c r="J80" s="883"/>
      <c r="K80" s="883"/>
      <c r="L80" s="883"/>
      <c r="M80" s="34"/>
      <c r="N80" s="34"/>
      <c r="P80" s="34"/>
      <c r="Q80" s="34"/>
      <c r="R80" s="34"/>
      <c r="S80" s="172"/>
      <c r="T80" s="34"/>
      <c r="U80" s="34"/>
      <c r="W80" s="335"/>
      <c r="X80" s="335"/>
      <c r="Y80" s="335"/>
      <c r="Z80" s="34"/>
      <c r="AA80" s="34"/>
      <c r="AB80" s="339"/>
      <c r="AC80" s="962"/>
      <c r="AD80" s="911" t="str">
        <f>IF($Z90=$Z92," ",IF($Z90&gt;$Z92,$W90,$W92))</f>
        <v>FG Elgg-Ettenhausen 1 ( NLA )</v>
      </c>
      <c r="AE80" s="912"/>
      <c r="AF80" s="913"/>
      <c r="AG80" s="910" t="str">
        <f>IF(Eigaben!N74=0," ",Eigaben!N74)</f>
        <v xml:space="preserve"> </v>
      </c>
      <c r="AH80" s="20"/>
    </row>
    <row r="81" spans="1:34" ht="8.15" customHeight="1" thickBot="1">
      <c r="A81" s="962"/>
      <c r="B81" s="884"/>
      <c r="C81" s="963" t="s">
        <v>748</v>
      </c>
      <c r="D81" s="963"/>
      <c r="E81" s="963"/>
      <c r="F81" s="884"/>
      <c r="G81" s="962">
        <v>13</v>
      </c>
      <c r="H81" s="947">
        <v>48</v>
      </c>
      <c r="I81" s="898" t="str">
        <f>IF(H81=0," ",VLOOKUP($H81,Eigaben!$Y$17:$Z$94,2,1))</f>
        <v>STV Alpnach  ( 1. Liga ) W</v>
      </c>
      <c r="J81" s="899"/>
      <c r="K81" s="900"/>
      <c r="L81" s="893">
        <f>IF(Eigaben!L40=0,"",Eigaben!L40)</f>
        <v>5</v>
      </c>
      <c r="M81" s="896"/>
      <c r="N81" s="34"/>
      <c r="P81" s="34"/>
      <c r="Q81" s="34"/>
      <c r="R81" s="34"/>
      <c r="S81" s="172"/>
      <c r="T81" s="34"/>
      <c r="U81" s="34"/>
      <c r="W81" s="335"/>
      <c r="X81" s="335"/>
      <c r="Y81" s="335"/>
      <c r="Z81" s="34"/>
      <c r="AA81" s="34"/>
      <c r="AB81" s="895" t="s">
        <v>620</v>
      </c>
      <c r="AC81" s="962"/>
      <c r="AD81" s="914"/>
      <c r="AE81" s="915"/>
      <c r="AF81" s="916"/>
      <c r="AG81" s="917"/>
      <c r="AH81" s="20"/>
    </row>
    <row r="82" spans="1:34" ht="8.15" customHeight="1" thickBot="1">
      <c r="A82" s="962"/>
      <c r="B82" s="884"/>
      <c r="C82" s="963"/>
      <c r="D82" s="963"/>
      <c r="E82" s="963"/>
      <c r="F82" s="884"/>
      <c r="G82" s="962"/>
      <c r="H82" s="947"/>
      <c r="I82" s="901"/>
      <c r="J82" s="902"/>
      <c r="K82" s="903"/>
      <c r="L82" s="894"/>
      <c r="M82" s="908"/>
      <c r="N82" s="34"/>
      <c r="P82" s="886" t="s">
        <v>1352</v>
      </c>
      <c r="Q82" s="886"/>
      <c r="R82" s="886"/>
      <c r="S82" s="886"/>
      <c r="T82" s="34"/>
      <c r="U82" s="34"/>
      <c r="W82" s="335"/>
      <c r="X82" s="335"/>
      <c r="Y82" s="335"/>
      <c r="Z82" s="34"/>
      <c r="AA82" s="34"/>
      <c r="AB82" s="896"/>
      <c r="AD82" s="34"/>
      <c r="AE82" s="34"/>
      <c r="AF82" s="34"/>
      <c r="AG82" s="966"/>
      <c r="AH82" s="20"/>
    </row>
    <row r="83" spans="1:34" ht="8.15" customHeight="1" thickBot="1">
      <c r="A83" s="962"/>
      <c r="B83" s="884"/>
      <c r="C83" s="330"/>
      <c r="D83" s="330"/>
      <c r="E83" s="335"/>
      <c r="F83" s="884"/>
      <c r="G83" s="962"/>
      <c r="H83" s="947">
        <v>61</v>
      </c>
      <c r="I83" s="901" t="str">
        <f>IF(H83=0," ",VLOOKUP($H83,Eigaben!$Y$17:$Z$94,2,1))</f>
        <v>STV Schlossrued ( NLB W )</v>
      </c>
      <c r="J83" s="902"/>
      <c r="K83" s="903"/>
      <c r="L83" s="894">
        <f>IF(Eigaben!N40=0,"",Eigaben!N40)</f>
        <v>2</v>
      </c>
      <c r="M83" s="918"/>
      <c r="N83" s="336"/>
      <c r="P83" s="883"/>
      <c r="Q83" s="883"/>
      <c r="R83" s="883"/>
      <c r="S83" s="883"/>
      <c r="T83" s="34"/>
      <c r="U83" s="34"/>
      <c r="W83" s="335"/>
      <c r="X83" s="335"/>
      <c r="Y83" s="335"/>
      <c r="Z83" s="34"/>
      <c r="AA83" s="34"/>
      <c r="AB83" s="336"/>
      <c r="AD83" s="34"/>
      <c r="AE83" s="34"/>
      <c r="AF83" s="34"/>
      <c r="AG83" s="884"/>
      <c r="AH83" s="20"/>
    </row>
    <row r="84" spans="1:34" ht="8.15" customHeight="1" thickBot="1">
      <c r="A84" s="962"/>
      <c r="B84" s="884"/>
      <c r="C84" s="330"/>
      <c r="D84" s="330"/>
      <c r="E84" s="330"/>
      <c r="F84" s="884"/>
      <c r="G84" s="962"/>
      <c r="H84" s="947"/>
      <c r="I84" s="919"/>
      <c r="J84" s="920"/>
      <c r="K84" s="921"/>
      <c r="L84" s="922"/>
      <c r="M84" s="904"/>
      <c r="N84" s="337"/>
      <c r="O84" s="923">
        <v>23</v>
      </c>
      <c r="P84" s="887" t="str">
        <f>IF($L81=$L83," ",IF($L81&gt;$L83,$I81,$I83))</f>
        <v>STV Alpnach  ( 1. Liga ) W</v>
      </c>
      <c r="Q84" s="888"/>
      <c r="R84" s="889"/>
      <c r="S84" s="893">
        <f>Eigaben!L56</f>
        <v>2</v>
      </c>
      <c r="T84" s="896"/>
      <c r="U84" s="34"/>
      <c r="W84" s="335"/>
      <c r="X84" s="335"/>
      <c r="Y84" s="335"/>
      <c r="Z84" s="34"/>
      <c r="AA84" s="34"/>
      <c r="AB84" s="336"/>
      <c r="AD84" s="34"/>
      <c r="AE84" s="34"/>
      <c r="AF84" s="34"/>
      <c r="AG84" s="34"/>
      <c r="AH84" s="20"/>
    </row>
    <row r="85" spans="1:34" ht="10" customHeight="1" thickBot="1">
      <c r="A85" s="321"/>
      <c r="B85" s="34"/>
      <c r="C85" s="330"/>
      <c r="D85" s="330"/>
      <c r="E85" s="330"/>
      <c r="F85" s="34"/>
      <c r="G85" s="321"/>
      <c r="H85" s="34"/>
      <c r="I85" s="882" t="str">
        <f>zusammenfassung_25!H25</f>
        <v>12:14/ 6:11/10:12/ 8:11/ 8:11</v>
      </c>
      <c r="J85" s="882"/>
      <c r="K85" s="882"/>
      <c r="L85" s="882"/>
      <c r="M85" s="34"/>
      <c r="N85" s="34"/>
      <c r="O85" s="923"/>
      <c r="P85" s="890"/>
      <c r="Q85" s="891"/>
      <c r="R85" s="892"/>
      <c r="S85" s="897"/>
      <c r="T85" s="908"/>
      <c r="U85" s="34"/>
      <c r="W85" s="335"/>
      <c r="X85" s="335"/>
      <c r="Y85" s="335"/>
      <c r="Z85" s="34"/>
      <c r="AA85" s="34"/>
      <c r="AB85" s="336"/>
      <c r="AD85" s="34"/>
      <c r="AE85" s="34"/>
      <c r="AF85" s="34"/>
      <c r="AG85" s="34"/>
      <c r="AH85" s="20"/>
    </row>
    <row r="86" spans="1:34" ht="10" customHeight="1" thickBot="1">
      <c r="A86" s="321"/>
      <c r="B86" s="34"/>
      <c r="C86" s="963" t="s">
        <v>653</v>
      </c>
      <c r="D86" s="963"/>
      <c r="E86" s="963"/>
      <c r="F86" s="963"/>
      <c r="G86" s="321"/>
      <c r="H86" s="34"/>
      <c r="I86" s="883"/>
      <c r="J86" s="883"/>
      <c r="K86" s="883"/>
      <c r="L86" s="883"/>
      <c r="M86" s="34"/>
      <c r="N86" s="339"/>
      <c r="O86" s="923"/>
      <c r="P86" s="931" t="str">
        <f>IF($L87=$L89,"",IF($L87&gt;$L89,$I87,$I89))</f>
        <v>FG Rickenbach-Wilen ( NLA )</v>
      </c>
      <c r="Q86" s="932"/>
      <c r="R86" s="933"/>
      <c r="S86" s="936">
        <f>Eigaben!N56</f>
        <v>5</v>
      </c>
      <c r="T86" s="918" t="s">
        <v>620</v>
      </c>
      <c r="U86" s="336"/>
      <c r="W86" s="335"/>
      <c r="X86" s="335"/>
      <c r="Y86" s="335"/>
      <c r="Z86" s="34"/>
      <c r="AA86" s="34"/>
      <c r="AB86" s="336"/>
      <c r="AD86" s="34"/>
      <c r="AE86" s="34"/>
      <c r="AF86" s="34"/>
      <c r="AG86" s="34"/>
      <c r="AH86" s="20"/>
    </row>
    <row r="87" spans="1:34" ht="8.15" customHeight="1" thickBot="1">
      <c r="A87" s="962"/>
      <c r="B87" s="884"/>
      <c r="C87" s="963"/>
      <c r="D87" s="963"/>
      <c r="E87" s="963"/>
      <c r="F87" s="963"/>
      <c r="G87" s="962">
        <v>14</v>
      </c>
      <c r="H87" s="947">
        <v>39</v>
      </c>
      <c r="I87" s="898" t="str">
        <f>IF(H87=0," ",VLOOKUP($H87,Eigaben!$Y$17:$Z$94,2,1))</f>
        <v>MR Beringen ( 2. Liga )</v>
      </c>
      <c r="J87" s="899"/>
      <c r="K87" s="900"/>
      <c r="L87" s="893">
        <v>0</v>
      </c>
      <c r="M87" s="904"/>
      <c r="N87" s="336"/>
      <c r="O87" s="923"/>
      <c r="P87" s="934"/>
      <c r="Q87" s="915"/>
      <c r="R87" s="935"/>
      <c r="S87" s="937"/>
      <c r="T87" s="904"/>
      <c r="U87" s="336"/>
      <c r="W87" s="335"/>
      <c r="X87" s="335"/>
      <c r="Y87" s="335"/>
      <c r="Z87" s="34"/>
      <c r="AA87" s="34"/>
      <c r="AB87" s="336"/>
      <c r="AD87" s="34"/>
      <c r="AE87" s="34"/>
      <c r="AF87" s="34"/>
      <c r="AG87" s="34"/>
      <c r="AH87" s="20"/>
    </row>
    <row r="88" spans="1:34" ht="8.15" customHeight="1" thickBot="1">
      <c r="A88" s="962"/>
      <c r="B88" s="884"/>
      <c r="C88" s="330"/>
      <c r="D88" s="330"/>
      <c r="E88" s="479"/>
      <c r="F88" s="479"/>
      <c r="G88" s="962"/>
      <c r="H88" s="947"/>
      <c r="I88" s="901"/>
      <c r="J88" s="902"/>
      <c r="K88" s="903"/>
      <c r="L88" s="894"/>
      <c r="M88" s="905"/>
      <c r="N88" s="336"/>
      <c r="P88" s="34"/>
      <c r="Q88" s="34"/>
      <c r="R88" s="34"/>
      <c r="S88" s="172"/>
      <c r="T88" s="34"/>
      <c r="U88" s="336"/>
      <c r="W88" s="884" t="s">
        <v>1368</v>
      </c>
      <c r="X88" s="884"/>
      <c r="Y88" s="884"/>
      <c r="Z88" s="884"/>
      <c r="AA88" s="34"/>
      <c r="AB88" s="336"/>
      <c r="AD88" s="34"/>
      <c r="AE88" s="34"/>
      <c r="AF88" s="34"/>
      <c r="AG88" s="34"/>
      <c r="AH88" s="20"/>
    </row>
    <row r="89" spans="1:34" ht="8.15" customHeight="1" thickBot="1">
      <c r="A89" s="962"/>
      <c r="B89" s="884"/>
      <c r="C89" s="330"/>
      <c r="D89" s="330"/>
      <c r="E89" s="344"/>
      <c r="F89" s="884"/>
      <c r="G89" s="962"/>
      <c r="H89" s="947">
        <v>69</v>
      </c>
      <c r="I89" s="901" t="str">
        <f>IF(H89=0," ",VLOOKUP($H89,Eigaben!$Y$17:$Z$94,2,1))</f>
        <v>FG Rickenbach-Wilen ( NLA )</v>
      </c>
      <c r="J89" s="902"/>
      <c r="K89" s="903"/>
      <c r="L89" s="894">
        <f>IF(Eigaben!N41=0,"",Eigaben!N41)</f>
        <v>5</v>
      </c>
      <c r="M89" s="895"/>
      <c r="N89" s="34"/>
      <c r="P89" s="34"/>
      <c r="Q89" s="34"/>
      <c r="R89" s="34"/>
      <c r="S89" s="172"/>
      <c r="T89" s="34"/>
      <c r="U89" s="336"/>
      <c r="W89" s="885"/>
      <c r="X89" s="885"/>
      <c r="Y89" s="885"/>
      <c r="Z89" s="885"/>
      <c r="AA89" s="34"/>
      <c r="AB89" s="336"/>
      <c r="AD89" s="34"/>
      <c r="AE89" s="34"/>
      <c r="AF89" s="34"/>
      <c r="AG89" s="34"/>
      <c r="AH89" s="20"/>
    </row>
    <row r="90" spans="1:34" ht="8.15" customHeight="1" thickBot="1">
      <c r="A90" s="962"/>
      <c r="B90" s="884"/>
      <c r="C90" s="330"/>
      <c r="D90" s="330"/>
      <c r="E90" s="344"/>
      <c r="F90" s="884"/>
      <c r="G90" s="962"/>
      <c r="H90" s="947"/>
      <c r="I90" s="919"/>
      <c r="J90" s="920"/>
      <c r="K90" s="921"/>
      <c r="L90" s="922"/>
      <c r="M90" s="896"/>
      <c r="N90" s="34"/>
      <c r="P90" s="34"/>
      <c r="Q90" s="34"/>
      <c r="R90" s="34"/>
      <c r="S90" s="172"/>
      <c r="T90" s="34"/>
      <c r="U90" s="337"/>
      <c r="V90" s="923">
        <v>28</v>
      </c>
      <c r="W90" s="887" t="str">
        <f>IF($S84=$S86," ",IF($S84&gt;$S86,$P84,$P86))</f>
        <v>FG Rickenbach-Wilen ( NLA )</v>
      </c>
      <c r="X90" s="888"/>
      <c r="Y90" s="889"/>
      <c r="Z90" s="909">
        <f>Eigaben!L67</f>
        <v>3</v>
      </c>
      <c r="AA90" s="904" t="s">
        <v>620</v>
      </c>
      <c r="AB90" s="336"/>
      <c r="AD90" s="34"/>
      <c r="AE90" s="34"/>
      <c r="AF90" s="34"/>
      <c r="AG90" s="34"/>
      <c r="AH90" s="20"/>
    </row>
    <row r="91" spans="1:34" ht="10" customHeight="1" thickBot="1">
      <c r="A91" s="321"/>
      <c r="B91" s="34"/>
      <c r="G91" s="321"/>
      <c r="H91" s="34"/>
      <c r="I91" s="882" t="str">
        <f>zusammenfassung_25!H26</f>
        <v>11: 8/ 3:11/ 7:11/ 7:11/ 14:12/ 6:11/ 7:11</v>
      </c>
      <c r="J91" s="882"/>
      <c r="K91" s="882"/>
      <c r="L91" s="882"/>
      <c r="M91" s="34"/>
      <c r="N91" s="34"/>
      <c r="P91" s="34"/>
      <c r="Q91" s="34"/>
      <c r="R91" s="34"/>
      <c r="S91" s="172"/>
      <c r="T91" s="34"/>
      <c r="U91" s="34"/>
      <c r="V91" s="923"/>
      <c r="W91" s="890"/>
      <c r="X91" s="891"/>
      <c r="Y91" s="892"/>
      <c r="Z91" s="930"/>
      <c r="AA91" s="905"/>
      <c r="AB91" s="336"/>
      <c r="AD91" s="34"/>
      <c r="AE91" s="34"/>
      <c r="AF91" s="34"/>
      <c r="AG91" s="34"/>
      <c r="AH91" s="20"/>
    </row>
    <row r="92" spans="1:34" ht="10" customHeight="1" thickBot="1">
      <c r="A92" s="321"/>
      <c r="B92" s="34"/>
      <c r="C92" s="886" t="s">
        <v>1111</v>
      </c>
      <c r="D92" s="886"/>
      <c r="E92" s="886"/>
      <c r="G92" s="321"/>
      <c r="H92" s="34"/>
      <c r="I92" s="883"/>
      <c r="J92" s="883"/>
      <c r="K92" s="883"/>
      <c r="L92" s="883"/>
      <c r="M92" s="34"/>
      <c r="N92" s="34"/>
      <c r="P92" s="34"/>
      <c r="Q92" s="34"/>
      <c r="R92" s="34"/>
      <c r="S92" s="172"/>
      <c r="T92" s="34"/>
      <c r="U92" s="339"/>
      <c r="V92" s="923"/>
      <c r="W92" s="911" t="str">
        <f>IF($S96=$S98," ",IF($S96&gt;$S98,$P96,$P98))</f>
        <v>FG Elgg-Ettenhausen 1 ( NLA )</v>
      </c>
      <c r="X92" s="912"/>
      <c r="Y92" s="913"/>
      <c r="Z92" s="907">
        <f>IF(Eigaben!N67=0," ",Eigaben!N67)</f>
        <v>5</v>
      </c>
      <c r="AA92" s="895"/>
      <c r="AB92" s="34"/>
      <c r="AD92" s="34"/>
      <c r="AE92" s="34"/>
      <c r="AF92" s="34"/>
      <c r="AG92" s="34"/>
      <c r="AH92" s="20"/>
    </row>
    <row r="93" spans="1:34" ht="8.15" customHeight="1" thickBot="1">
      <c r="A93" s="962"/>
      <c r="B93" s="884"/>
      <c r="C93" s="886"/>
      <c r="D93" s="886"/>
      <c r="E93" s="886"/>
      <c r="F93" s="963"/>
      <c r="G93" s="962">
        <v>15</v>
      </c>
      <c r="H93" s="947">
        <v>20</v>
      </c>
      <c r="I93" s="898" t="str">
        <f>Eigaben!H42</f>
        <v>STV Elgg ( 2. Liga )</v>
      </c>
      <c r="J93" s="899"/>
      <c r="K93" s="900"/>
      <c r="L93" s="893">
        <f>IF(Eigaben!L42=0,"",Eigaben!L42)</f>
        <v>2</v>
      </c>
      <c r="M93" s="896"/>
      <c r="N93" s="34"/>
      <c r="P93" s="34"/>
      <c r="Q93" s="34"/>
      <c r="R93" s="34"/>
      <c r="S93" s="172"/>
      <c r="T93" s="34"/>
      <c r="U93" s="336"/>
      <c r="V93" s="923"/>
      <c r="W93" s="914"/>
      <c r="X93" s="915"/>
      <c r="Y93" s="916"/>
      <c r="Z93" s="917"/>
      <c r="AA93" s="896"/>
      <c r="AB93" s="34"/>
      <c r="AD93" s="34"/>
      <c r="AE93" s="34"/>
      <c r="AF93" s="34"/>
      <c r="AG93" s="34"/>
      <c r="AH93" s="20"/>
    </row>
    <row r="94" spans="1:34" ht="8.15" customHeight="1" thickBot="1">
      <c r="A94" s="962"/>
      <c r="B94" s="884"/>
      <c r="C94" s="335"/>
      <c r="D94" s="335"/>
      <c r="E94" s="344"/>
      <c r="F94" s="963"/>
      <c r="G94" s="962"/>
      <c r="H94" s="947"/>
      <c r="I94" s="901"/>
      <c r="J94" s="902"/>
      <c r="K94" s="903"/>
      <c r="L94" s="894"/>
      <c r="M94" s="908"/>
      <c r="N94" s="34"/>
      <c r="P94" s="938" t="s">
        <v>1361</v>
      </c>
      <c r="Q94" s="938"/>
      <c r="R94" s="938"/>
      <c r="S94" s="938"/>
      <c r="T94" s="34"/>
      <c r="U94" s="336"/>
      <c r="W94" s="335"/>
      <c r="X94" s="335"/>
      <c r="Y94" s="335"/>
      <c r="Z94" s="34"/>
      <c r="AA94" s="34"/>
      <c r="AB94" s="34"/>
      <c r="AD94" s="34"/>
      <c r="AE94" s="34"/>
      <c r="AF94" s="34"/>
      <c r="AG94" s="34"/>
      <c r="AH94" s="20"/>
    </row>
    <row r="95" spans="1:34" ht="8.15" customHeight="1" thickBot="1">
      <c r="A95" s="962"/>
      <c r="B95" s="884"/>
      <c r="D95" s="319"/>
      <c r="E95" s="319"/>
      <c r="F95" s="319"/>
      <c r="G95" s="962"/>
      <c r="H95" s="947">
        <f>Eigaben!G42</f>
        <v>47</v>
      </c>
      <c r="I95" s="901" t="str">
        <f>IF(H95=0," ",VLOOKUP($H95,Eigaben!$Y$17:$Z$94,2,1))</f>
        <v xml:space="preserve">TV Widnau ( 2. Liga F ) </v>
      </c>
      <c r="J95" s="902"/>
      <c r="K95" s="903"/>
      <c r="L95" s="894">
        <f>IF(Eigaben!N42=0,"",Eigaben!N42)</f>
        <v>5</v>
      </c>
      <c r="M95" s="918"/>
      <c r="N95" s="336"/>
      <c r="P95" s="939"/>
      <c r="Q95" s="939"/>
      <c r="R95" s="939"/>
      <c r="S95" s="939"/>
      <c r="T95" s="34"/>
      <c r="U95" s="336"/>
      <c r="W95" s="335"/>
      <c r="X95" s="335"/>
      <c r="Y95" s="335"/>
      <c r="Z95" s="34"/>
      <c r="AA95" s="34"/>
      <c r="AB95" s="954" t="s">
        <v>1112</v>
      </c>
      <c r="AC95" s="955"/>
      <c r="AD95" s="955"/>
      <c r="AE95" s="955"/>
      <c r="AF95" s="955"/>
      <c r="AG95" s="956"/>
      <c r="AH95" s="342"/>
    </row>
    <row r="96" spans="1:34" ht="8.15" customHeight="1" thickBot="1">
      <c r="A96" s="962"/>
      <c r="B96" s="884"/>
      <c r="C96" s="963" t="s">
        <v>1119</v>
      </c>
      <c r="D96" s="963"/>
      <c r="E96" s="963"/>
      <c r="F96" s="319"/>
      <c r="G96" s="962"/>
      <c r="H96" s="947"/>
      <c r="I96" s="919"/>
      <c r="J96" s="920"/>
      <c r="K96" s="921"/>
      <c r="L96" s="922"/>
      <c r="M96" s="904"/>
      <c r="N96" s="337"/>
      <c r="O96" s="923">
        <v>24</v>
      </c>
      <c r="P96" s="887" t="str">
        <f>IF($L93=$L95," ",IF($L93&gt;$L95,$I93,$I95))</f>
        <v xml:space="preserve">TV Widnau ( 2. Liga F ) </v>
      </c>
      <c r="Q96" s="888"/>
      <c r="R96" s="889"/>
      <c r="S96" s="893">
        <f>IF(Eigaben!$L$57=0,"",Eigaben!$L$57)</f>
        <v>4</v>
      </c>
      <c r="T96" s="904" t="s">
        <v>620</v>
      </c>
      <c r="U96" s="336"/>
      <c r="W96" s="335"/>
      <c r="X96" s="335"/>
      <c r="Y96" s="335"/>
      <c r="Z96" s="34"/>
      <c r="AA96" s="34"/>
      <c r="AB96" s="957"/>
      <c r="AC96" s="958"/>
      <c r="AD96" s="958"/>
      <c r="AE96" s="958"/>
      <c r="AF96" s="958"/>
      <c r="AG96" s="959"/>
      <c r="AH96" s="342"/>
    </row>
    <row r="97" spans="1:34" ht="10" customHeight="1" thickBot="1">
      <c r="A97" s="321"/>
      <c r="B97" s="34"/>
      <c r="C97" s="963"/>
      <c r="D97" s="963"/>
      <c r="E97" s="963"/>
      <c r="F97" s="335"/>
      <c r="G97" s="321"/>
      <c r="H97" s="34"/>
      <c r="I97" s="882" t="str">
        <f>zusammenfassung_25!H27</f>
        <v>07:11/ 6:11/ 7:11/ 8:11/ 11: 9/ 7:11</v>
      </c>
      <c r="J97" s="882"/>
      <c r="K97" s="882"/>
      <c r="L97" s="882"/>
      <c r="M97" s="34"/>
      <c r="N97" s="34"/>
      <c r="O97" s="923"/>
      <c r="P97" s="890"/>
      <c r="Q97" s="891"/>
      <c r="R97" s="892"/>
      <c r="S97" s="894"/>
      <c r="T97" s="905"/>
      <c r="U97" s="336"/>
      <c r="W97" s="335"/>
      <c r="X97" s="335"/>
      <c r="Y97" s="335"/>
      <c r="Z97" s="34"/>
      <c r="AA97" s="34"/>
      <c r="AB97" s="957"/>
      <c r="AC97" s="958"/>
      <c r="AD97" s="958"/>
      <c r="AE97" s="958"/>
      <c r="AF97" s="958"/>
      <c r="AG97" s="959"/>
      <c r="AH97" s="342"/>
    </row>
    <row r="98" spans="1:34" ht="10" customHeight="1" thickBot="1">
      <c r="A98" s="321"/>
      <c r="B98" s="34"/>
      <c r="F98" s="335"/>
      <c r="G98" s="321"/>
      <c r="H98" s="34"/>
      <c r="I98" s="883"/>
      <c r="J98" s="883"/>
      <c r="K98" s="883"/>
      <c r="L98" s="883"/>
      <c r="M98" s="34"/>
      <c r="N98" s="339"/>
      <c r="O98" s="923"/>
      <c r="P98" s="911" t="str">
        <f>IF($L99=$L101," ",IF($L99&gt;$L101,$I99,$I101))</f>
        <v>FG Elgg-Ettenhausen 1 ( NLA )</v>
      </c>
      <c r="Q98" s="912"/>
      <c r="R98" s="913"/>
      <c r="S98" s="894">
        <f>IF(Eigaben!$N$57=0,"",Eigaben!$N$57)</f>
        <v>5</v>
      </c>
      <c r="T98" s="895"/>
      <c r="U98" s="34"/>
      <c r="W98" s="335"/>
      <c r="X98" s="335"/>
      <c r="Y98" s="335"/>
      <c r="Z98" s="34"/>
      <c r="AA98" s="34"/>
      <c r="AB98" s="957"/>
      <c r="AC98" s="958"/>
      <c r="AD98" s="958"/>
      <c r="AE98" s="958"/>
      <c r="AF98" s="958"/>
      <c r="AG98" s="959"/>
      <c r="AH98" s="342"/>
    </row>
    <row r="99" spans="1:34" ht="8.15" customHeight="1" thickBot="1">
      <c r="A99" s="962"/>
      <c r="B99" s="884"/>
      <c r="F99" s="963"/>
      <c r="G99" s="962">
        <v>16</v>
      </c>
      <c r="H99" s="947">
        <v>52</v>
      </c>
      <c r="I99" s="898" t="str">
        <f>IF(H99=0," ",VLOOKUP($H99,Eigaben!$Y$17:$Z$94,2,1))</f>
        <v>STV Vordemwald 2  ( 1. Liga W)</v>
      </c>
      <c r="J99" s="899"/>
      <c r="K99" s="900"/>
      <c r="L99" s="893">
        <f>IF(Eigaben!L43=0,"",Eigaben!L43)</f>
        <v>1</v>
      </c>
      <c r="M99" s="904"/>
      <c r="N99" s="336"/>
      <c r="O99" s="923"/>
      <c r="P99" s="914"/>
      <c r="Q99" s="915"/>
      <c r="R99" s="916"/>
      <c r="S99" s="922"/>
      <c r="T99" s="896"/>
      <c r="U99" s="34"/>
      <c r="W99" s="335"/>
      <c r="X99" s="335"/>
      <c r="Y99" s="335"/>
      <c r="Z99" s="34"/>
      <c r="AA99" s="34"/>
      <c r="AB99" s="941" t="str">
        <f>IF(AG53=AG56," ",IF(AG53&gt;AG56,AB53,AB56))</f>
        <v xml:space="preserve"> </v>
      </c>
      <c r="AC99" s="942"/>
      <c r="AD99" s="942"/>
      <c r="AE99" s="942"/>
      <c r="AF99" s="942"/>
      <c r="AG99" s="943"/>
      <c r="AH99" s="345"/>
    </row>
    <row r="100" spans="1:34" ht="8.15" customHeight="1" thickBot="1">
      <c r="A100" s="962"/>
      <c r="B100" s="884"/>
      <c r="C100" s="335"/>
      <c r="D100" s="335"/>
      <c r="E100" s="319"/>
      <c r="F100" s="963"/>
      <c r="G100" s="962"/>
      <c r="H100" s="947"/>
      <c r="I100" s="901"/>
      <c r="J100" s="902"/>
      <c r="K100" s="903"/>
      <c r="L100" s="894"/>
      <c r="M100" s="905"/>
      <c r="N100" s="336"/>
      <c r="P100" s="34"/>
      <c r="Q100" s="34"/>
      <c r="R100" s="34"/>
      <c r="T100" s="34"/>
      <c r="U100" s="34"/>
      <c r="W100" s="335"/>
      <c r="X100" s="335"/>
      <c r="Y100" s="335"/>
      <c r="Z100" s="34"/>
      <c r="AA100" s="34"/>
      <c r="AB100" s="941"/>
      <c r="AC100" s="942"/>
      <c r="AD100" s="942"/>
      <c r="AE100" s="942"/>
      <c r="AF100" s="942"/>
      <c r="AG100" s="943"/>
      <c r="AH100" s="345"/>
    </row>
    <row r="101" spans="1:34" ht="8.15" customHeight="1">
      <c r="A101" s="962"/>
      <c r="B101" s="884"/>
      <c r="C101" s="330"/>
      <c r="D101" s="330"/>
      <c r="F101" s="884"/>
      <c r="G101" s="962"/>
      <c r="H101" s="947">
        <v>66</v>
      </c>
      <c r="I101" s="948" t="str">
        <f>IF(H101=0," ",VLOOKUP($H101,Eigaben!$Y$17:$Z$94,2,1))</f>
        <v>FG Elgg-Ettenhausen 1 ( NLA )</v>
      </c>
      <c r="J101" s="949"/>
      <c r="K101" s="950"/>
      <c r="L101" s="894">
        <f>IF(Eigaben!N43=0,"",Eigaben!N43)</f>
        <v>5</v>
      </c>
      <c r="M101" s="895"/>
      <c r="N101" s="34"/>
      <c r="P101" s="34"/>
      <c r="Q101" s="34"/>
      <c r="R101" s="34"/>
      <c r="T101" s="34"/>
      <c r="U101" s="34"/>
      <c r="W101" s="335"/>
      <c r="X101" s="335"/>
      <c r="Y101" s="335"/>
      <c r="Z101" s="34"/>
      <c r="AA101" s="34"/>
      <c r="AB101" s="941"/>
      <c r="AC101" s="942"/>
      <c r="AD101" s="942"/>
      <c r="AE101" s="942"/>
      <c r="AF101" s="942"/>
      <c r="AG101" s="943"/>
      <c r="AH101" s="345"/>
    </row>
    <row r="102" spans="1:34" ht="8.15" customHeight="1" thickBot="1">
      <c r="A102" s="962"/>
      <c r="B102" s="884"/>
      <c r="C102" s="330"/>
      <c r="D102" s="330"/>
      <c r="F102" s="884"/>
      <c r="G102" s="962"/>
      <c r="H102" s="947"/>
      <c r="I102" s="951"/>
      <c r="J102" s="952"/>
      <c r="K102" s="953"/>
      <c r="L102" s="922"/>
      <c r="M102" s="896"/>
      <c r="N102" s="34"/>
      <c r="P102" s="964"/>
      <c r="Q102" s="346"/>
      <c r="R102" s="346"/>
      <c r="T102" s="34"/>
      <c r="U102" s="34"/>
      <c r="W102" s="335"/>
      <c r="X102" s="335"/>
      <c r="Y102" s="335"/>
      <c r="Z102" s="34"/>
      <c r="AA102" s="34"/>
      <c r="AB102" s="944"/>
      <c r="AC102" s="945"/>
      <c r="AD102" s="945"/>
      <c r="AE102" s="945"/>
      <c r="AF102" s="945"/>
      <c r="AG102" s="946"/>
      <c r="AH102" s="345"/>
    </row>
    <row r="103" spans="1:34" ht="8.15" customHeight="1">
      <c r="A103" s="321"/>
      <c r="B103" s="20"/>
      <c r="C103" s="20"/>
      <c r="D103" s="20"/>
      <c r="E103" s="20"/>
      <c r="H103" s="20"/>
      <c r="I103" s="20"/>
      <c r="J103" s="20"/>
      <c r="K103" s="20"/>
      <c r="M103" s="20"/>
      <c r="N103" s="20"/>
      <c r="P103" s="965"/>
      <c r="Q103" s="347"/>
      <c r="R103" s="347"/>
      <c r="T103" s="20"/>
      <c r="U103" s="20"/>
      <c r="W103" s="319"/>
      <c r="X103" s="319"/>
      <c r="Y103" s="319"/>
      <c r="Z103" s="20"/>
      <c r="AA103" s="20"/>
      <c r="AB103" s="20"/>
      <c r="AD103" s="20"/>
      <c r="AE103" s="20"/>
      <c r="AF103" s="20"/>
      <c r="AG103" s="20"/>
      <c r="AH103" s="20"/>
    </row>
    <row r="104" spans="1:34" ht="8.15" customHeight="1">
      <c r="A104" s="321"/>
      <c r="B104" s="20"/>
      <c r="C104" s="20"/>
      <c r="D104" s="20"/>
      <c r="E104" s="20"/>
      <c r="H104" s="20"/>
      <c r="I104" s="20"/>
      <c r="J104" s="20"/>
      <c r="K104" s="20"/>
      <c r="M104" s="20"/>
      <c r="N104" s="20"/>
      <c r="P104" s="20"/>
      <c r="Q104" s="20"/>
      <c r="R104" s="20"/>
      <c r="T104" s="20"/>
      <c r="U104" s="20"/>
      <c r="W104" s="319"/>
      <c r="X104" s="319"/>
      <c r="Y104" s="319"/>
      <c r="Z104" s="20"/>
      <c r="AA104" s="20"/>
      <c r="AB104" s="20"/>
      <c r="AD104" s="20"/>
      <c r="AE104" s="20"/>
      <c r="AF104" s="20"/>
      <c r="AG104" s="20"/>
      <c r="AH104" s="20"/>
    </row>
    <row r="105" spans="1:34" ht="8.15" customHeight="1">
      <c r="E105" s="960"/>
    </row>
    <row r="106" spans="1:34" ht="8.15" customHeight="1">
      <c r="E106" s="961"/>
    </row>
    <row r="107" spans="1:34" ht="8.15" customHeight="1">
      <c r="K107" s="3"/>
    </row>
    <row r="108" spans="1:34" ht="8.15" customHeight="1"/>
  </sheetData>
  <mergeCells count="403">
    <mergeCell ref="A8:A11"/>
    <mergeCell ref="B8:B9"/>
    <mergeCell ref="C8:E9"/>
    <mergeCell ref="F8:F9"/>
    <mergeCell ref="G8:G11"/>
    <mergeCell ref="H8:H9"/>
    <mergeCell ref="I8:K9"/>
    <mergeCell ref="B10:B11"/>
    <mergeCell ref="C10:E11"/>
    <mergeCell ref="F10:F11"/>
    <mergeCell ref="H10:H11"/>
    <mergeCell ref="I10:K11"/>
    <mergeCell ref="C6:E7"/>
    <mergeCell ref="C22:E23"/>
    <mergeCell ref="F22:F23"/>
    <mergeCell ref="H22:H23"/>
    <mergeCell ref="I22:K23"/>
    <mergeCell ref="B16:B17"/>
    <mergeCell ref="C16:E17"/>
    <mergeCell ref="P33:S34"/>
    <mergeCell ref="Z17:Z18"/>
    <mergeCell ref="P9:S10"/>
    <mergeCell ref="W15:Y16"/>
    <mergeCell ref="L10:L11"/>
    <mergeCell ref="M10:M11"/>
    <mergeCell ref="F16:F17"/>
    <mergeCell ref="H16:H17"/>
    <mergeCell ref="B14:B15"/>
    <mergeCell ref="F14:F15"/>
    <mergeCell ref="G14:G17"/>
    <mergeCell ref="H14:H15"/>
    <mergeCell ref="B22:B23"/>
    <mergeCell ref="C14:E15"/>
    <mergeCell ref="A14:A17"/>
    <mergeCell ref="T13:T14"/>
    <mergeCell ref="I20:K21"/>
    <mergeCell ref="L20:L21"/>
    <mergeCell ref="M20:M21"/>
    <mergeCell ref="B20:B21"/>
    <mergeCell ref="C20:E21"/>
    <mergeCell ref="F20:F21"/>
    <mergeCell ref="G20:G23"/>
    <mergeCell ref="H20:H21"/>
    <mergeCell ref="C12:E13"/>
    <mergeCell ref="I18:L19"/>
    <mergeCell ref="A20:A23"/>
    <mergeCell ref="A1:AD1"/>
    <mergeCell ref="B4:C4"/>
    <mergeCell ref="E4:F4"/>
    <mergeCell ref="K4:L4"/>
    <mergeCell ref="O4:P4"/>
    <mergeCell ref="R4:S4"/>
    <mergeCell ref="V4:W4"/>
    <mergeCell ref="Y4:Z4"/>
    <mergeCell ref="AC4:AD4"/>
    <mergeCell ref="AF4:AG4"/>
    <mergeCell ref="I5:K5"/>
    <mergeCell ref="AA17:AA18"/>
    <mergeCell ref="W19:Y20"/>
    <mergeCell ref="Z19:Z20"/>
    <mergeCell ref="AA19:AA20"/>
    <mergeCell ref="I14:K15"/>
    <mergeCell ref="L14:L15"/>
    <mergeCell ref="M14:M15"/>
    <mergeCell ref="O11:O14"/>
    <mergeCell ref="P11:R12"/>
    <mergeCell ref="S11:S12"/>
    <mergeCell ref="T11:T12"/>
    <mergeCell ref="P13:R14"/>
    <mergeCell ref="L8:L9"/>
    <mergeCell ref="M8:M9"/>
    <mergeCell ref="I16:K17"/>
    <mergeCell ref="L16:L17"/>
    <mergeCell ref="M16:M17"/>
    <mergeCell ref="I12:K13"/>
    <mergeCell ref="V17:V20"/>
    <mergeCell ref="W17:Y18"/>
    <mergeCell ref="S13:S14"/>
    <mergeCell ref="I6:K7"/>
    <mergeCell ref="A26:A29"/>
    <mergeCell ref="B26:B27"/>
    <mergeCell ref="C26:E27"/>
    <mergeCell ref="F26:F27"/>
    <mergeCell ref="G26:G29"/>
    <mergeCell ref="H26:H27"/>
    <mergeCell ref="M28:M29"/>
    <mergeCell ref="AC29:AC32"/>
    <mergeCell ref="AD29:AF30"/>
    <mergeCell ref="B28:B29"/>
    <mergeCell ref="C28:E29"/>
    <mergeCell ref="F28:F29"/>
    <mergeCell ref="H28:H29"/>
    <mergeCell ref="I28:K29"/>
    <mergeCell ref="L28:L29"/>
    <mergeCell ref="AG29:AG30"/>
    <mergeCell ref="AD31:AF32"/>
    <mergeCell ref="AG31:AG32"/>
    <mergeCell ref="I26:K27"/>
    <mergeCell ref="L26:L27"/>
    <mergeCell ref="M26:M27"/>
    <mergeCell ref="AG27:AG28"/>
    <mergeCell ref="O23:O26"/>
    <mergeCell ref="P23:R24"/>
    <mergeCell ref="S23:S24"/>
    <mergeCell ref="T23:T24"/>
    <mergeCell ref="P25:R26"/>
    <mergeCell ref="S25:S26"/>
    <mergeCell ref="T25:T26"/>
    <mergeCell ref="AB28:AB29"/>
    <mergeCell ref="L22:L23"/>
    <mergeCell ref="M22:M23"/>
    <mergeCell ref="I30:L31"/>
    <mergeCell ref="I24:L25"/>
    <mergeCell ref="P21:S22"/>
    <mergeCell ref="AG33:AG34"/>
    <mergeCell ref="B34:B35"/>
    <mergeCell ref="C34:E35"/>
    <mergeCell ref="F34:F35"/>
    <mergeCell ref="H34:H35"/>
    <mergeCell ref="I34:K35"/>
    <mergeCell ref="L34:L35"/>
    <mergeCell ref="A32:A35"/>
    <mergeCell ref="B32:B33"/>
    <mergeCell ref="C32:E33"/>
    <mergeCell ref="F32:F33"/>
    <mergeCell ref="G32:G35"/>
    <mergeCell ref="H32:H33"/>
    <mergeCell ref="M34:M35"/>
    <mergeCell ref="O35:O38"/>
    <mergeCell ref="P35:R36"/>
    <mergeCell ref="S35:S36"/>
    <mergeCell ref="T35:T36"/>
    <mergeCell ref="P37:R38"/>
    <mergeCell ref="S37:S38"/>
    <mergeCell ref="T37:T38"/>
    <mergeCell ref="I32:K33"/>
    <mergeCell ref="L32:L33"/>
    <mergeCell ref="M32:M33"/>
    <mergeCell ref="AF39:AG40"/>
    <mergeCell ref="B40:B41"/>
    <mergeCell ref="C40:E41"/>
    <mergeCell ref="F40:F41"/>
    <mergeCell ref="H40:H41"/>
    <mergeCell ref="I40:K41"/>
    <mergeCell ref="L40:L41"/>
    <mergeCell ref="B38:B39"/>
    <mergeCell ref="C38:E39"/>
    <mergeCell ref="F38:F39"/>
    <mergeCell ref="G38:G41"/>
    <mergeCell ref="H38:H39"/>
    <mergeCell ref="W40:Y41"/>
    <mergeCell ref="A45:A48"/>
    <mergeCell ref="B45:B46"/>
    <mergeCell ref="C45:E46"/>
    <mergeCell ref="F45:F46"/>
    <mergeCell ref="G45:G48"/>
    <mergeCell ref="H45:H46"/>
    <mergeCell ref="M40:M41"/>
    <mergeCell ref="V41:V45"/>
    <mergeCell ref="A38:A41"/>
    <mergeCell ref="M45:M46"/>
    <mergeCell ref="I38:K39"/>
    <mergeCell ref="L38:L39"/>
    <mergeCell ref="M38:M39"/>
    <mergeCell ref="AB46:AG49"/>
    <mergeCell ref="B47:B48"/>
    <mergeCell ref="C47:E48"/>
    <mergeCell ref="F47:F48"/>
    <mergeCell ref="H47:H48"/>
    <mergeCell ref="I47:K48"/>
    <mergeCell ref="L47:L48"/>
    <mergeCell ref="AF41:AG43"/>
    <mergeCell ref="W44:Y45"/>
    <mergeCell ref="Z44:Z45"/>
    <mergeCell ref="AA44:AA45"/>
    <mergeCell ref="AC41:AD43"/>
    <mergeCell ref="M47:M48"/>
    <mergeCell ref="O48:O51"/>
    <mergeCell ref="P48:R49"/>
    <mergeCell ref="S48:S49"/>
    <mergeCell ref="T48:T49"/>
    <mergeCell ref="P50:R51"/>
    <mergeCell ref="S50:S51"/>
    <mergeCell ref="T50:T51"/>
    <mergeCell ref="I45:K46"/>
    <mergeCell ref="L45:L46"/>
    <mergeCell ref="W42:Y43"/>
    <mergeCell ref="AB50:AG52"/>
    <mergeCell ref="A51:A54"/>
    <mergeCell ref="B51:B52"/>
    <mergeCell ref="C51:E52"/>
    <mergeCell ref="F51:F52"/>
    <mergeCell ref="AH53:AH55"/>
    <mergeCell ref="AB56:AF58"/>
    <mergeCell ref="AG56:AG58"/>
    <mergeCell ref="B53:B54"/>
    <mergeCell ref="C53:E54"/>
    <mergeCell ref="F53:F54"/>
    <mergeCell ref="H53:H54"/>
    <mergeCell ref="I53:K54"/>
    <mergeCell ref="L53:L54"/>
    <mergeCell ref="G51:G54"/>
    <mergeCell ref="H51:H52"/>
    <mergeCell ref="I51:K52"/>
    <mergeCell ref="L51:L52"/>
    <mergeCell ref="M51:M52"/>
    <mergeCell ref="P58:R59"/>
    <mergeCell ref="AB53:AF55"/>
    <mergeCell ref="AG53:AG55"/>
    <mergeCell ref="I57:K58"/>
    <mergeCell ref="L57:L58"/>
    <mergeCell ref="M57:M58"/>
    <mergeCell ref="A63:A66"/>
    <mergeCell ref="B63:B64"/>
    <mergeCell ref="C63:E64"/>
    <mergeCell ref="F63:F64"/>
    <mergeCell ref="G63:G66"/>
    <mergeCell ref="H63:H64"/>
    <mergeCell ref="A57:A60"/>
    <mergeCell ref="B57:B58"/>
    <mergeCell ref="C57:E58"/>
    <mergeCell ref="F57:F58"/>
    <mergeCell ref="G57:G60"/>
    <mergeCell ref="H57:H58"/>
    <mergeCell ref="B65:B66"/>
    <mergeCell ref="C65:E66"/>
    <mergeCell ref="F65:F66"/>
    <mergeCell ref="H65:H66"/>
    <mergeCell ref="B59:B60"/>
    <mergeCell ref="C59:E60"/>
    <mergeCell ref="F59:F60"/>
    <mergeCell ref="H59:H60"/>
    <mergeCell ref="A69:A72"/>
    <mergeCell ref="I75:K76"/>
    <mergeCell ref="L75:L76"/>
    <mergeCell ref="M75:M76"/>
    <mergeCell ref="P74:R75"/>
    <mergeCell ref="S74:S75"/>
    <mergeCell ref="I69:K70"/>
    <mergeCell ref="L69:L70"/>
    <mergeCell ref="B71:B72"/>
    <mergeCell ref="E71:E72"/>
    <mergeCell ref="F71:F72"/>
    <mergeCell ref="H71:H72"/>
    <mergeCell ref="I71:K72"/>
    <mergeCell ref="L71:L72"/>
    <mergeCell ref="B69:B70"/>
    <mergeCell ref="E69:E70"/>
    <mergeCell ref="A75:A78"/>
    <mergeCell ref="B75:B76"/>
    <mergeCell ref="F75:F76"/>
    <mergeCell ref="G75:G78"/>
    <mergeCell ref="H75:H76"/>
    <mergeCell ref="F69:F70"/>
    <mergeCell ref="G69:G72"/>
    <mergeCell ref="H69:H70"/>
    <mergeCell ref="AC78:AC81"/>
    <mergeCell ref="AD78:AF79"/>
    <mergeCell ref="AG78:AG79"/>
    <mergeCell ref="AD80:AF81"/>
    <mergeCell ref="AG80:AG81"/>
    <mergeCell ref="B81:B82"/>
    <mergeCell ref="F81:F82"/>
    <mergeCell ref="G81:G84"/>
    <mergeCell ref="P84:R85"/>
    <mergeCell ref="S84:S85"/>
    <mergeCell ref="T84:T85"/>
    <mergeCell ref="H81:H82"/>
    <mergeCell ref="AB81:AB82"/>
    <mergeCell ref="C74:E79"/>
    <mergeCell ref="A87:A90"/>
    <mergeCell ref="B87:B88"/>
    <mergeCell ref="G87:G90"/>
    <mergeCell ref="H87:H88"/>
    <mergeCell ref="I87:K88"/>
    <mergeCell ref="L83:L84"/>
    <mergeCell ref="M83:M84"/>
    <mergeCell ref="A81:A84"/>
    <mergeCell ref="C81:E82"/>
    <mergeCell ref="M87:M88"/>
    <mergeCell ref="B89:B90"/>
    <mergeCell ref="F89:F90"/>
    <mergeCell ref="H89:H90"/>
    <mergeCell ref="I89:K90"/>
    <mergeCell ref="L89:L90"/>
    <mergeCell ref="M89:M90"/>
    <mergeCell ref="C86:F87"/>
    <mergeCell ref="I81:K82"/>
    <mergeCell ref="B83:B84"/>
    <mergeCell ref="F83:F84"/>
    <mergeCell ref="H83:H84"/>
    <mergeCell ref="I83:K84"/>
    <mergeCell ref="E105:E106"/>
    <mergeCell ref="I99:K100"/>
    <mergeCell ref="L99:L100"/>
    <mergeCell ref="M99:M100"/>
    <mergeCell ref="O96:O99"/>
    <mergeCell ref="P96:R97"/>
    <mergeCell ref="A93:A96"/>
    <mergeCell ref="B93:B94"/>
    <mergeCell ref="F93:F94"/>
    <mergeCell ref="G93:G96"/>
    <mergeCell ref="H93:H94"/>
    <mergeCell ref="I93:K94"/>
    <mergeCell ref="B95:B96"/>
    <mergeCell ref="H95:H96"/>
    <mergeCell ref="I95:K96"/>
    <mergeCell ref="C96:E97"/>
    <mergeCell ref="C92:E93"/>
    <mergeCell ref="A99:A102"/>
    <mergeCell ref="B99:B100"/>
    <mergeCell ref="F99:F100"/>
    <mergeCell ref="G99:G102"/>
    <mergeCell ref="H99:H100"/>
    <mergeCell ref="P102:P103"/>
    <mergeCell ref="L93:L94"/>
    <mergeCell ref="I43:L44"/>
    <mergeCell ref="I49:L50"/>
    <mergeCell ref="AB99:AG102"/>
    <mergeCell ref="B101:B102"/>
    <mergeCell ref="F101:F102"/>
    <mergeCell ref="H101:H102"/>
    <mergeCell ref="I101:K102"/>
    <mergeCell ref="L101:L102"/>
    <mergeCell ref="M101:M102"/>
    <mergeCell ref="S98:S99"/>
    <mergeCell ref="T98:T99"/>
    <mergeCell ref="AB95:AG98"/>
    <mergeCell ref="S96:S97"/>
    <mergeCell ref="T96:T97"/>
    <mergeCell ref="P98:R99"/>
    <mergeCell ref="I97:L98"/>
    <mergeCell ref="AG76:AG77"/>
    <mergeCell ref="B77:B78"/>
    <mergeCell ref="F77:F78"/>
    <mergeCell ref="H77:H78"/>
    <mergeCell ref="I77:K78"/>
    <mergeCell ref="L77:L78"/>
    <mergeCell ref="M77:M78"/>
    <mergeCell ref="AG82:AG83"/>
    <mergeCell ref="L95:L96"/>
    <mergeCell ref="M95:M96"/>
    <mergeCell ref="V90:V93"/>
    <mergeCell ref="W90:Y91"/>
    <mergeCell ref="Z90:Z91"/>
    <mergeCell ref="AA90:AA91"/>
    <mergeCell ref="W92:Y93"/>
    <mergeCell ref="Z92:Z93"/>
    <mergeCell ref="P86:R87"/>
    <mergeCell ref="S86:S87"/>
    <mergeCell ref="T86:T87"/>
    <mergeCell ref="L87:L88"/>
    <mergeCell ref="O84:O87"/>
    <mergeCell ref="I91:L92"/>
    <mergeCell ref="AA92:AA93"/>
    <mergeCell ref="M93:M94"/>
    <mergeCell ref="P94:S95"/>
    <mergeCell ref="I85:L86"/>
    <mergeCell ref="I59:K60"/>
    <mergeCell ref="L59:L60"/>
    <mergeCell ref="M59:M60"/>
    <mergeCell ref="T60:T61"/>
    <mergeCell ref="P62:R63"/>
    <mergeCell ref="S62:S63"/>
    <mergeCell ref="T62:T63"/>
    <mergeCell ref="O60:O63"/>
    <mergeCell ref="W66:Y67"/>
    <mergeCell ref="V66:V69"/>
    <mergeCell ref="Z66:Z67"/>
    <mergeCell ref="AA66:AA67"/>
    <mergeCell ref="W68:Y69"/>
    <mergeCell ref="Z68:Z69"/>
    <mergeCell ref="AA68:AA69"/>
    <mergeCell ref="P82:S83"/>
    <mergeCell ref="I65:K66"/>
    <mergeCell ref="L65:L66"/>
    <mergeCell ref="M65:M66"/>
    <mergeCell ref="W64:Y65"/>
    <mergeCell ref="O72:O75"/>
    <mergeCell ref="I36:L37"/>
    <mergeCell ref="I55:L56"/>
    <mergeCell ref="I61:L62"/>
    <mergeCell ref="I67:L68"/>
    <mergeCell ref="W88:Z89"/>
    <mergeCell ref="AD27:AF28"/>
    <mergeCell ref="P60:R61"/>
    <mergeCell ref="S60:S61"/>
    <mergeCell ref="M53:M54"/>
    <mergeCell ref="P70:S71"/>
    <mergeCell ref="P46:S47"/>
    <mergeCell ref="P72:R73"/>
    <mergeCell ref="S72:S73"/>
    <mergeCell ref="I63:K64"/>
    <mergeCell ref="L63:L64"/>
    <mergeCell ref="M63:M64"/>
    <mergeCell ref="I73:L74"/>
    <mergeCell ref="I79:L80"/>
    <mergeCell ref="Z42:Z43"/>
    <mergeCell ref="AA42:AA43"/>
    <mergeCell ref="L81:L82"/>
    <mergeCell ref="M81:M82"/>
    <mergeCell ref="T72:T73"/>
    <mergeCell ref="T74:T75"/>
  </mergeCells>
  <conditionalFormatting sqref="C14">
    <cfRule type="expression" dxfId="788" priority="2">
      <formula>$F$14&gt;$F$16</formula>
    </cfRule>
  </conditionalFormatting>
  <conditionalFormatting sqref="C8:E9">
    <cfRule type="expression" dxfId="787" priority="4">
      <formula>$F$8&gt;$F$10</formula>
    </cfRule>
  </conditionalFormatting>
  <conditionalFormatting sqref="C10:E11">
    <cfRule type="expression" dxfId="786" priority="3">
      <formula>$F$10&gt;$F$8</formula>
    </cfRule>
    <cfRule type="expression" dxfId="785" priority="5">
      <formula>$F$8&gt;$F$10</formula>
    </cfRule>
  </conditionalFormatting>
  <conditionalFormatting sqref="C16:E17">
    <cfRule type="expression" dxfId="784" priority="1">
      <formula>$F$16&gt;$F$14</formula>
    </cfRule>
  </conditionalFormatting>
  <conditionalFormatting sqref="I20:K21">
    <cfRule type="cellIs" dxfId="783" priority="14" operator="greaterThan">
      <formula>$L$20&gt;$L$22</formula>
    </cfRule>
  </conditionalFormatting>
  <conditionalFormatting sqref="L38:L39">
    <cfRule type="cellIs" dxfId="782" priority="15" operator="greaterThan">
      <formula>$L$38&gt;$L$40</formula>
    </cfRule>
  </conditionalFormatting>
  <conditionalFormatting sqref="W28">
    <cfRule type="cellIs" dxfId="781" priority="13" operator="greaterThan">
      <formula>"formel=oder$F$9&gt;$F$11"</formula>
    </cfRule>
  </conditionalFormatting>
  <conditionalFormatting sqref="W56">
    <cfRule type="cellIs" dxfId="780" priority="16" operator="greaterThan">
      <formula>$L$38&gt;$L$40</formula>
    </cfRule>
  </conditionalFormatting>
  <printOptions horizontalCentered="1" verticalCentered="1"/>
  <pageMargins left="0.19685039370078741" right="0.15748031496062992" top="0.23622047244094491" bottom="0.31496062992125984" header="7.874015748031496E-2" footer="0.15748031496062992"/>
  <pageSetup paperSize="9" scale="57" orientation="landscape" r:id="rId1"/>
  <headerFooter differentOddEven="1" scaleWithDoc="0" alignWithMargins="0">
    <oddFooter>&amp;L&amp;8swissfaustball CH CUP 2025&amp;R&amp;8&amp;D</oddFooter>
  </headerFooter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13'!A5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13'!A15</f>
        <v>45813</v>
      </c>
      <c r="F6" s="1343"/>
      <c r="G6" s="1343"/>
      <c r="H6" s="1343"/>
      <c r="I6" s="1343"/>
      <c r="J6" s="1320" t="s">
        <v>324</v>
      </c>
      <c r="K6" s="1320"/>
      <c r="L6" s="1321">
        <f>'Aufgebot 13'!G15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13'!L15</f>
        <v>Aalpnach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13'!Y5</f>
        <v>13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0" t="str">
        <f>'Aufgebot 13'!A8</f>
        <v>STV Alpnach  ( 1. Liga ) W</v>
      </c>
      <c r="H8" s="1410"/>
      <c r="I8" s="1410"/>
      <c r="J8" s="1410"/>
      <c r="K8" s="1410"/>
      <c r="L8" s="1410"/>
      <c r="M8" s="1410"/>
      <c r="N8" s="1410"/>
      <c r="O8" s="1410"/>
      <c r="P8" s="1410"/>
      <c r="Q8" s="1411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13'!O8</f>
        <v>STV Schlossrued ( NLB W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13'!A19&amp;" "&amp;'Aufgebot 13'!G19</f>
        <v>Valon Shabanaj +41 79 460 34 25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13'!A9</f>
        <v>Kasper Tobias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13'!$G$34&gt;0,1,"")</f>
        <v>1</v>
      </c>
      <c r="H30" s="249">
        <f>IF('Aufgebot 13'!$G$34&gt;0,2,"")</f>
        <v>2</v>
      </c>
      <c r="I30" s="249" t="str">
        <f>IF('Aufgebot 13'!$G$34=3,3,"")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13'!$G$34&gt;0,1,"")</f>
        <v>1</v>
      </c>
      <c r="H32" s="249">
        <f>IF('Aufgebot 13'!$G$34&gt;0,2,"")</f>
        <v>2</v>
      </c>
      <c r="I32" s="249" t="str">
        <f>IF('Aufgebot 13'!$G$34=3,3,"")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13'!$G$34&gt;0,1,"")</f>
        <v>1</v>
      </c>
      <c r="H34" s="249">
        <f>IF('Aufgebot 13'!$G$34&gt;0,2,"")</f>
        <v>2</v>
      </c>
      <c r="I34" s="249" t="str">
        <f>IF('Aufgebot 13'!$G$34=3,3,"")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13'!$G$34&gt;0,1,"")</f>
        <v>1</v>
      </c>
      <c r="H36" s="249">
        <f>IF('Aufgebot 13'!$G$34&gt;0,2,"")</f>
        <v>2</v>
      </c>
      <c r="I36" s="249" t="str">
        <f>IF('Aufgebot 13'!$G$34=3,3,"")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13'!$G$34&gt;0,1,"")</f>
        <v>1</v>
      </c>
      <c r="H39" s="249">
        <f>IF('Aufgebot 13'!$G$34&gt;0,2,"")</f>
        <v>2</v>
      </c>
      <c r="I39" s="249" t="str">
        <f>IF('Aufgebot 13'!$G$34=3,3,"")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13'!$G$34&gt;0,1,"")</f>
        <v>1</v>
      </c>
      <c r="H41" s="249">
        <f>IF('Aufgebot 13'!$G$34&gt;0,2,"")</f>
        <v>2</v>
      </c>
      <c r="I41" s="249" t="str">
        <f>IF('Aufgebot 13'!$G$34=3,3,"")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13'!$G$34&gt;0,1,"")</f>
        <v>1</v>
      </c>
      <c r="H43" s="249">
        <f>IF('Aufgebot 13'!$G$34&gt;0,2,"")</f>
        <v>2</v>
      </c>
      <c r="I43" s="249" t="str">
        <f>IF('Aufgebot 13'!$G$34=3,3,"")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13'!$G$34&gt;0,1,"")</f>
        <v>1</v>
      </c>
      <c r="H45" s="249">
        <f>IF('Aufgebot 13'!$G$34&gt;0,2,"")</f>
        <v>2</v>
      </c>
      <c r="I45" s="249" t="str">
        <f>IF('Aufgebot 13'!$G$34=3,3,"")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13'!$G$34&gt;0,1,"")</f>
        <v>1</v>
      </c>
      <c r="H48" s="249">
        <f>IF('Aufgebot 13'!$G$34&gt;0,2,"")</f>
        <v>2</v>
      </c>
      <c r="I48" s="249" t="str">
        <f>IF('Aufgebot 13'!$G$34=3,3,"")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14</v>
      </c>
      <c r="Z5" s="394"/>
      <c r="AA5" s="396"/>
      <c r="AC5" s="156"/>
      <c r="AD5" s="265"/>
      <c r="AE5" s="172"/>
    </row>
    <row r="6" spans="1:33" ht="9" customHeight="1" thickBot="1">
      <c r="A6" s="363">
        <f>Eigaben!F41</f>
        <v>39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Eigaben!G41</f>
        <v>69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MR Beringen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Rickenbach-Wilen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Stefan Kunz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Jonas Hess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Mühleweg 15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8222 Beringen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>052 685 20 53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052 685 01 01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079 900 69 17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faustball@mrberingen.ch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spiko@fgriwi.ch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Eigaben!C41</f>
        <v>14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IF(Eigaben!C41=0,"",VLOOKUP(C13,Eigaben!$C$28:$V$109,13,0))</f>
        <v>45792</v>
      </c>
      <c r="B15" s="1199"/>
      <c r="C15" s="1199"/>
      <c r="D15" s="1199"/>
      <c r="E15" s="1199"/>
      <c r="F15" s="1199"/>
      <c r="G15" s="1194">
        <f>IF(Eigaben!C41=0,"",VLOOKUP(C13,Eigaben!$C$28:$V$110,14,0))</f>
        <v>0.79166666666666663</v>
      </c>
      <c r="H15" s="1194"/>
      <c r="I15" s="1194"/>
      <c r="J15" s="1194"/>
      <c r="K15" s="1194"/>
      <c r="L15" s="1195" t="str">
        <f>IF(Eigaben!C41=0,"",VLOOKUP(C13,Eigaben!$C$28:$V$1110,15,0))</f>
        <v>Beringen</v>
      </c>
      <c r="M15" s="1196"/>
      <c r="N15" s="1196"/>
      <c r="O15" s="1196"/>
      <c r="P15" s="1196"/>
      <c r="Q15" s="1196"/>
      <c r="R15" s="1196"/>
      <c r="S15" s="1197"/>
      <c r="T15" s="1195" t="str">
        <f>IF(Eigaben!C41=0,"",VLOOKUP(C13,Eigaben!$C$28:$V$110,16,0))</f>
        <v>Schulhaus Zimmerberg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Eigaben!T41</f>
        <v>5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Cornelia Chollet</v>
      </c>
      <c r="B19" s="1362"/>
      <c r="C19" s="1362"/>
      <c r="D19" s="1362"/>
      <c r="E19" s="1362"/>
      <c r="F19" s="1363"/>
      <c r="G19" s="860" t="str">
        <f>IF(C16=0,"",VLOOKUP(C16,Schiri_25!A2:L181,9,1))</f>
        <v>+41 78 859 60 54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+41 52 233 93 58</v>
      </c>
      <c r="N19" s="1408"/>
      <c r="O19" s="1408"/>
      <c r="P19" s="1408"/>
      <c r="Q19" s="902"/>
      <c r="R19" s="1420" t="str">
        <f>IF(C16=0,"",VLOOKUP(C16,Schiri_25!A2:L181,12,1))</f>
        <v>cocho76@hispeed.ch</v>
      </c>
      <c r="S19" s="1421"/>
      <c r="T19" s="1421"/>
      <c r="U19" s="1421"/>
      <c r="V19" s="1421"/>
      <c r="W19" s="1421"/>
      <c r="X19" s="1421"/>
      <c r="Y19" s="1421"/>
      <c r="Z19" s="1421"/>
      <c r="AA19" s="142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Eigaben!V41</f>
        <v>26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 t="str">
        <f>Eigaben!C6</f>
        <v>A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Eigaben!S41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79" priority="20" stopIfTrue="1" operator="greaterThan">
      <formula>$C$41</formula>
    </cfRule>
  </conditionalFormatting>
  <conditionalFormatting sqref="C41">
    <cfRule type="cellIs" dxfId="378" priority="10" stopIfTrue="1" operator="greaterThan">
      <formula>$A$41</formula>
    </cfRule>
    <cfRule type="cellIs" dxfId="377" priority="11" stopIfTrue="1" operator="greaterThan">
      <formula>$A$41</formula>
    </cfRule>
  </conditionalFormatting>
  <conditionalFormatting sqref="D41">
    <cfRule type="cellIs" dxfId="376" priority="19" stopIfTrue="1" operator="greaterThan">
      <formula>$F$41</formula>
    </cfRule>
  </conditionalFormatting>
  <conditionalFormatting sqref="F41">
    <cfRule type="cellIs" dxfId="375" priority="9" stopIfTrue="1" operator="greaterThan">
      <formula>$D$41</formula>
    </cfRule>
  </conditionalFormatting>
  <conditionalFormatting sqref="G41">
    <cfRule type="cellIs" dxfId="374" priority="18" stopIfTrue="1" operator="greaterThan">
      <formula>$I$41</formula>
    </cfRule>
  </conditionalFormatting>
  <conditionalFormatting sqref="I41">
    <cfRule type="cellIs" dxfId="373" priority="8" stopIfTrue="1" operator="greaterThan">
      <formula>$G$41</formula>
    </cfRule>
  </conditionalFormatting>
  <conditionalFormatting sqref="J41">
    <cfRule type="cellIs" dxfId="372" priority="17" stopIfTrue="1" operator="greaterThan">
      <formula>$L$41</formula>
    </cfRule>
  </conditionalFormatting>
  <conditionalFormatting sqref="L41">
    <cfRule type="cellIs" dxfId="371" priority="7" stopIfTrue="1" operator="greaterThan">
      <formula>$J$41</formula>
    </cfRule>
  </conditionalFormatting>
  <conditionalFormatting sqref="M41">
    <cfRule type="cellIs" dxfId="370" priority="16" stopIfTrue="1" operator="greaterThan">
      <formula>$O$41</formula>
    </cfRule>
  </conditionalFormatting>
  <conditionalFormatting sqref="O41">
    <cfRule type="cellIs" dxfId="369" priority="6" stopIfTrue="1" operator="greaterThan">
      <formula>$M$41</formula>
    </cfRule>
  </conditionalFormatting>
  <conditionalFormatting sqref="P41">
    <cfRule type="cellIs" dxfId="368" priority="15" stopIfTrue="1" operator="greaterThan">
      <formula>$R$41</formula>
    </cfRule>
  </conditionalFormatting>
  <conditionalFormatting sqref="R41">
    <cfRule type="cellIs" dxfId="367" priority="5" stopIfTrue="1" operator="greaterThan">
      <formula>$P$41</formula>
    </cfRule>
  </conditionalFormatting>
  <conditionalFormatting sqref="S41">
    <cfRule type="cellIs" dxfId="366" priority="14" stopIfTrue="1" operator="greaterThan">
      <formula>$U$41</formula>
    </cfRule>
  </conditionalFormatting>
  <conditionalFormatting sqref="U41">
    <cfRule type="cellIs" dxfId="365" priority="1" stopIfTrue="1" operator="greaterThan">
      <formula>$S$41</formula>
    </cfRule>
    <cfRule type="cellIs" dxfId="364" priority="4" stopIfTrue="1" operator="greaterThan">
      <formula>$U$41</formula>
    </cfRule>
  </conditionalFormatting>
  <conditionalFormatting sqref="V41">
    <cfRule type="cellIs" dxfId="363" priority="13" stopIfTrue="1" operator="greaterThan">
      <formula>$X$41</formula>
    </cfRule>
  </conditionalFormatting>
  <conditionalFormatting sqref="X41">
    <cfRule type="cellIs" dxfId="362" priority="3" stopIfTrue="1" operator="greaterThan">
      <formula>$V$41</formula>
    </cfRule>
  </conditionalFormatting>
  <conditionalFormatting sqref="Y41">
    <cfRule type="cellIs" dxfId="361" priority="12" stopIfTrue="1" operator="greaterThan">
      <formula>$AA$41</formula>
    </cfRule>
  </conditionalFormatting>
  <conditionalFormatting sqref="AA41">
    <cfRule type="cellIs" dxfId="360" priority="2" stopIfTrue="1" operator="greaterThan">
      <formula>$Y$41</formula>
    </cfRule>
  </conditionalFormatting>
  <hyperlinks>
    <hyperlink ref="R45" r:id="rId1" display="pabst@swissfaustball.ch" xr:uid="{00000000-0004-0000-27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14'!A5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14'!A15</f>
        <v>45792</v>
      </c>
      <c r="F6" s="1343"/>
      <c r="G6" s="1343"/>
      <c r="H6" s="1343"/>
      <c r="I6" s="1343"/>
      <c r="J6" s="1320" t="s">
        <v>324</v>
      </c>
      <c r="K6" s="1320"/>
      <c r="L6" s="1321">
        <f>'Aufgebot 14'!G15</f>
        <v>0.79166666666666663</v>
      </c>
      <c r="M6" s="1321"/>
      <c r="N6" s="1321"/>
      <c r="O6" s="1320" t="s">
        <v>323</v>
      </c>
      <c r="P6" s="1320"/>
      <c r="Q6" s="1320"/>
      <c r="R6" s="1320"/>
      <c r="S6" s="1409" t="str">
        <f>'Aufgebot 14'!L15</f>
        <v>Beringen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14'!Y5</f>
        <v>14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14'!A8</f>
        <v>MR Beringen ( 2. Liga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14'!O8</f>
        <v>FG Rickenbach-Wilen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14'!A19&amp;" "&amp;'Aufgebot 14'!G19</f>
        <v>Cornelia Chollet +41 78 859 60 54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14'!A9</f>
        <v>Stefan Kunz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14'!$G$34&gt;0,1,"")</f>
        <v>1</v>
      </c>
      <c r="H30" s="249">
        <f>IF('Aufgebot 14'!$G$34&gt;0,2,"")</f>
        <v>2</v>
      </c>
      <c r="I30" s="249">
        <f>IF('Aufgebot 14'!$G$34=3,3,"")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14'!$G$34&gt;0,1,"")</f>
        <v>1</v>
      </c>
      <c r="H32" s="249">
        <f>IF('Aufgebot 14'!$G$34&gt;0,2,"")</f>
        <v>2</v>
      </c>
      <c r="I32" s="249">
        <f>IF('Aufgebot 14'!$G$34=3,3,"")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14'!$G$34&gt;0,1,"")</f>
        <v>1</v>
      </c>
      <c r="H34" s="249">
        <f>IF('Aufgebot 14'!$G$34&gt;0,2,"")</f>
        <v>2</v>
      </c>
      <c r="I34" s="249">
        <f>IF('Aufgebot 14'!$G$34=3,3,"")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14'!$G$34&gt;0,1,"")</f>
        <v>1</v>
      </c>
      <c r="H36" s="249">
        <f>IF('Aufgebot 14'!$G$34&gt;0,2,"")</f>
        <v>2</v>
      </c>
      <c r="I36" s="249">
        <f>IF('Aufgebot 14'!$G$34=3,3,"")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14'!$G$34&gt;0,1,"")</f>
        <v>1</v>
      </c>
      <c r="H39" s="249">
        <f>IF('Aufgebot 14'!$G$34&gt;0,2,"")</f>
        <v>2</v>
      </c>
      <c r="I39" s="249">
        <f>IF('Aufgebot 14'!$G$34=3,3,"")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14'!$G$34&gt;0,1,"")</f>
        <v>1</v>
      </c>
      <c r="H41" s="249">
        <f>IF('Aufgebot 14'!$G$34&gt;0,2,"")</f>
        <v>2</v>
      </c>
      <c r="I41" s="249">
        <f>IF('Aufgebot 14'!$G$34=3,3,"")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14'!$G$34&gt;0,1,"")</f>
        <v>1</v>
      </c>
      <c r="H43" s="249">
        <f>IF('Aufgebot 14'!$G$34&gt;0,2,"")</f>
        <v>2</v>
      </c>
      <c r="I43" s="249">
        <f>IF('Aufgebot 14'!$G$34=3,3,"")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14'!$G$34&gt;0,1,"")</f>
        <v>1</v>
      </c>
      <c r="H45" s="249">
        <f>IF('Aufgebot 14'!$G$34&gt;0,2,"")</f>
        <v>2</v>
      </c>
      <c r="I45" s="249">
        <f>IF('Aufgebot 14'!$G$34=3,3,"")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14'!$G$34&gt;0,1,"")</f>
        <v>1</v>
      </c>
      <c r="H48" s="249">
        <f>IF('Aufgebot 14'!$G$34&gt;0,2,"")</f>
        <v>2</v>
      </c>
      <c r="I48" s="249">
        <f>IF('Aufgebot 14'!$G$34=3,3,"")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15</v>
      </c>
      <c r="Z5" s="394"/>
      <c r="AA5" s="396"/>
      <c r="AC5" s="156"/>
      <c r="AD5" s="265"/>
      <c r="AE5" s="172"/>
    </row>
    <row r="6" spans="1:33" ht="9" customHeight="1" thickBot="1">
      <c r="A6" s="363">
        <f>Eigaben!F42</f>
        <v>40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Eigaben!G42</f>
        <v>47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Elgg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 xml:space="preserve">TV Widnau ( 2. Liga F ) 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Oliver Lang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Jerome Sepin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079 672 93 60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IF(Eigaben!$AG$54=0,"",VLOOKUP($O$6,Eigaben!$Y$17:$AH$103,9,1))</f>
        <v>079 929 89 85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lang@swissfaustball.ch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jerome.sepin@gmail.com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Eigaben!C42</f>
        <v>15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IF(Eigaben!C28=0,"",VLOOKUP(C13,Eigaben!$C$28:$V$109,13,0))</f>
        <v>45813</v>
      </c>
      <c r="B15" s="1199"/>
      <c r="C15" s="1199"/>
      <c r="D15" s="1199"/>
      <c r="E15" s="1199"/>
      <c r="F15" s="1199"/>
      <c r="G15" s="1194">
        <f>IF(Eigaben!C28=0,"",VLOOKUP(C13,Eigaben!$C$28:$V$110,14,0))</f>
        <v>0.8125</v>
      </c>
      <c r="H15" s="1194"/>
      <c r="I15" s="1194"/>
      <c r="J15" s="1194"/>
      <c r="K15" s="1194"/>
      <c r="L15" s="1195" t="str">
        <f>IF(Eigaben!C28=0,"",VLOOKUP(C13,Eigaben!$C$28:$V$1110,15,0))</f>
        <v>Elgg</v>
      </c>
      <c r="M15" s="1196"/>
      <c r="N15" s="1196"/>
      <c r="O15" s="1196"/>
      <c r="P15" s="1196"/>
      <c r="Q15" s="1196"/>
      <c r="R15" s="1196"/>
      <c r="S15" s="1197"/>
      <c r="T15" s="1195" t="str">
        <f>IF(Eigaben!C28=0,"",VLOOKUP(C13,Eigaben!$C$28:$V$110,16,0))</f>
        <v>Im See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Eigaben!T42</f>
        <v>34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René Meili</v>
      </c>
      <c r="B19" s="1362"/>
      <c r="C19" s="1362"/>
      <c r="D19" s="1362"/>
      <c r="E19" s="1362"/>
      <c r="F19" s="1363"/>
      <c r="G19" s="860" t="str">
        <f>IF(C16=0,"",VLOOKUP(C16,Schiri_25!A2:L181,9,1))</f>
        <v>+41 76 488 80 08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420" t="str">
        <f>IF(C16=0,"",VLOOKUP(C16,Schiri_25!A2:L181,12,1))</f>
        <v>rene-meili@bluewin.ch</v>
      </c>
      <c r="S19" s="1421"/>
      <c r="T19" s="1421"/>
      <c r="U19" s="1421"/>
      <c r="V19" s="1421"/>
      <c r="W19" s="1421"/>
      <c r="X19" s="1421"/>
      <c r="Y19" s="1421"/>
      <c r="Z19" s="1421"/>
      <c r="AA19" s="142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Eigaben!V42</f>
        <v>12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Eigaben!S42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59" priority="20" stopIfTrue="1" operator="greaterThan">
      <formula>$C$41</formula>
    </cfRule>
  </conditionalFormatting>
  <conditionalFormatting sqref="C41">
    <cfRule type="cellIs" dxfId="358" priority="10" stopIfTrue="1" operator="greaterThan">
      <formula>$A$41</formula>
    </cfRule>
    <cfRule type="cellIs" dxfId="357" priority="11" stopIfTrue="1" operator="greaterThan">
      <formula>$A$41</formula>
    </cfRule>
  </conditionalFormatting>
  <conditionalFormatting sqref="D41">
    <cfRule type="cellIs" dxfId="356" priority="19" stopIfTrue="1" operator="greaterThan">
      <formula>$F$41</formula>
    </cfRule>
  </conditionalFormatting>
  <conditionalFormatting sqref="F41">
    <cfRule type="cellIs" dxfId="355" priority="9" stopIfTrue="1" operator="greaterThan">
      <formula>$D$41</formula>
    </cfRule>
  </conditionalFormatting>
  <conditionalFormatting sqref="G41">
    <cfRule type="cellIs" dxfId="354" priority="18" stopIfTrue="1" operator="greaterThan">
      <formula>$I$41</formula>
    </cfRule>
  </conditionalFormatting>
  <conditionalFormatting sqref="I41">
    <cfRule type="cellIs" dxfId="353" priority="8" stopIfTrue="1" operator="greaterThan">
      <formula>$G$41</formula>
    </cfRule>
  </conditionalFormatting>
  <conditionalFormatting sqref="J41">
    <cfRule type="cellIs" dxfId="352" priority="17" stopIfTrue="1" operator="greaterThan">
      <formula>$L$41</formula>
    </cfRule>
  </conditionalFormatting>
  <conditionalFormatting sqref="L41">
    <cfRule type="cellIs" dxfId="351" priority="7" stopIfTrue="1" operator="greaterThan">
      <formula>$J$41</formula>
    </cfRule>
  </conditionalFormatting>
  <conditionalFormatting sqref="M41">
    <cfRule type="cellIs" dxfId="350" priority="16" stopIfTrue="1" operator="greaterThan">
      <formula>$O$41</formula>
    </cfRule>
  </conditionalFormatting>
  <conditionalFormatting sqref="O41">
    <cfRule type="cellIs" dxfId="349" priority="6" stopIfTrue="1" operator="greaterThan">
      <formula>$M$41</formula>
    </cfRule>
  </conditionalFormatting>
  <conditionalFormatting sqref="P41">
    <cfRule type="cellIs" dxfId="348" priority="15" stopIfTrue="1" operator="greaterThan">
      <formula>$R$41</formula>
    </cfRule>
  </conditionalFormatting>
  <conditionalFormatting sqref="R41">
    <cfRule type="cellIs" dxfId="347" priority="5" stopIfTrue="1" operator="greaterThan">
      <formula>$P$41</formula>
    </cfRule>
  </conditionalFormatting>
  <conditionalFormatting sqref="S41">
    <cfRule type="cellIs" dxfId="346" priority="14" stopIfTrue="1" operator="greaterThan">
      <formula>$U$41</formula>
    </cfRule>
  </conditionalFormatting>
  <conditionalFormatting sqref="U41">
    <cfRule type="cellIs" dxfId="345" priority="1" stopIfTrue="1" operator="greaterThan">
      <formula>$S$41</formula>
    </cfRule>
    <cfRule type="cellIs" dxfId="344" priority="4" stopIfTrue="1" operator="greaterThan">
      <formula>$U$41</formula>
    </cfRule>
  </conditionalFormatting>
  <conditionalFormatting sqref="V41">
    <cfRule type="cellIs" dxfId="343" priority="13" stopIfTrue="1" operator="greaterThan">
      <formula>$X$41</formula>
    </cfRule>
  </conditionalFormatting>
  <conditionalFormatting sqref="X41">
    <cfRule type="cellIs" dxfId="342" priority="3" stopIfTrue="1" operator="greaterThan">
      <formula>$V$41</formula>
    </cfRule>
  </conditionalFormatting>
  <conditionalFormatting sqref="Y41">
    <cfRule type="cellIs" dxfId="341" priority="12" stopIfTrue="1" operator="greaterThan">
      <formula>$AA$41</formula>
    </cfRule>
  </conditionalFormatting>
  <conditionalFormatting sqref="AA41">
    <cfRule type="cellIs" dxfId="340" priority="2" stopIfTrue="1" operator="greaterThan">
      <formula>$Y$41</formula>
    </cfRule>
  </conditionalFormatting>
  <hyperlinks>
    <hyperlink ref="R45" r:id="rId1" display="pabst@swissfaustball.ch" xr:uid="{00000000-0004-0000-29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11"/>
  </sheetPr>
  <dimension ref="A1:AN62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15'!A5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15'!A15</f>
        <v>45813</v>
      </c>
      <c r="F6" s="1343"/>
      <c r="G6" s="1343"/>
      <c r="H6" s="1343"/>
      <c r="I6" s="1343"/>
      <c r="J6" s="1320" t="s">
        <v>324</v>
      </c>
      <c r="K6" s="1320"/>
      <c r="L6" s="1321">
        <f>'Aufgebot 15'!G15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15'!L15</f>
        <v>Elgg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15'!Y5</f>
        <v>15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15'!A8</f>
        <v>STV Elgg ( 2. Liga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15'!O8</f>
        <v xml:space="preserve">TV Widnau ( 2. Liga F ) 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 t="e">
        <f>Schiri_25!#REF!</f>
        <v>#REF!</v>
      </c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15'!A19&amp;" "&amp;'Aufgebot 15'!G19</f>
        <v>René Meili +41 76 488 80 08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15'!A9</f>
        <v>Oliver Lang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15'!$G$34&gt;0,1,"")</f>
        <v/>
      </c>
      <c r="H30" s="249" t="str">
        <f>IF('Aufgebot 15'!$G$34&gt;0,2,"")</f>
        <v/>
      </c>
      <c r="I30" s="249" t="str">
        <f>IF('Aufgebot 15'!$G$34=3,3,"")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15'!$G$34&gt;0,1,"")</f>
        <v/>
      </c>
      <c r="H32" s="249" t="str">
        <f>IF('Aufgebot 15'!$G$34&gt;0,2,"")</f>
        <v/>
      </c>
      <c r="I32" s="249" t="str">
        <f>IF('Aufgebot 15'!$G$34=3,3,"")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15'!$G$34&gt;0,1,"")</f>
        <v/>
      </c>
      <c r="H34" s="249" t="str">
        <f>IF('Aufgebot 15'!$G$34&gt;0,2,"")</f>
        <v/>
      </c>
      <c r="I34" s="249" t="str">
        <f>IF('Aufgebot 15'!$G$34=3,3,"")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15'!$G$34&gt;0,1,"")</f>
        <v/>
      </c>
      <c r="H36" s="249" t="str">
        <f>IF('Aufgebot 15'!$G$34&gt;0,2,"")</f>
        <v/>
      </c>
      <c r="I36" s="249" t="str">
        <f>IF('Aufgebot 15'!$G$34=3,3,"")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15'!$G$34&gt;0,1,"")</f>
        <v/>
      </c>
      <c r="H39" s="249" t="str">
        <f>IF('Aufgebot 15'!$G$34&gt;0,2,"")</f>
        <v/>
      </c>
      <c r="I39" s="249" t="str">
        <f>IF('Aufgebot 15'!$G$34=3,3,"")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15'!$G$34&gt;0,1,"")</f>
        <v/>
      </c>
      <c r="H41" s="249" t="str">
        <f>IF('Aufgebot 15'!$G$34&gt;0,2,"")</f>
        <v/>
      </c>
      <c r="I41" s="249" t="str">
        <f>IF('Aufgebot 15'!$G$34=3,3,"")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15'!$G$34&gt;0,1,"")</f>
        <v/>
      </c>
      <c r="H43" s="249" t="str">
        <f>IF('Aufgebot 15'!$G$34&gt;0,2,"")</f>
        <v/>
      </c>
      <c r="I43" s="249" t="str">
        <f>IF('Aufgebot 15'!$G$34=3,3,"")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15'!$G$34&gt;0,1,"")</f>
        <v/>
      </c>
      <c r="H45" s="249" t="str">
        <f>IF('Aufgebot 15'!$G$34&gt;0,2,"")</f>
        <v/>
      </c>
      <c r="I45" s="249" t="str">
        <f>IF('Aufgebot 15'!$G$34=3,3,"")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15'!$G$34&gt;0,1,"")</f>
        <v/>
      </c>
      <c r="H48" s="249" t="str">
        <f>IF('Aufgebot 15'!$G$34&gt;0,2,"")</f>
        <v/>
      </c>
      <c r="I48" s="249" t="str">
        <f>IF('Aufgebot 15'!$G$34=3,3,"")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9" customHeight="1" thickBot="1">
      <c r="A55" s="226"/>
      <c r="B55" s="227"/>
      <c r="C55" s="227"/>
      <c r="D55" s="227"/>
      <c r="E55" s="227"/>
      <c r="F55" s="17"/>
      <c r="G55" s="36"/>
      <c r="H55" s="30"/>
      <c r="I55" s="17"/>
      <c r="J55" s="36"/>
      <c r="K55" s="30"/>
      <c r="L55" s="17"/>
      <c r="M55" s="36"/>
      <c r="N55" s="30"/>
      <c r="O55" s="17"/>
      <c r="P55" s="36"/>
      <c r="Q55" s="30"/>
      <c r="R55" s="17"/>
      <c r="S55" s="36"/>
      <c r="T55" s="36"/>
      <c r="U55" s="30"/>
      <c r="V55" s="17"/>
      <c r="W55" s="36"/>
      <c r="X55" s="30"/>
      <c r="Y55" s="17"/>
      <c r="Z55" s="36"/>
      <c r="AA55" s="30"/>
      <c r="AB55" s="17"/>
      <c r="AC55" s="36"/>
      <c r="AD55" s="30"/>
      <c r="AE55" s="36"/>
      <c r="AF55" s="30"/>
      <c r="AG55" s="30"/>
      <c r="AH55" s="30"/>
      <c r="AI55" s="30"/>
      <c r="AJ55" s="146"/>
    </row>
    <row r="56" spans="1:36" ht="17.149999999999999" customHeight="1" thickBot="1">
      <c r="A56" s="1285" t="s">
        <v>129</v>
      </c>
      <c r="B56" s="1286"/>
      <c r="C56" s="1287"/>
      <c r="D56" s="1287"/>
      <c r="E56" s="1287"/>
      <c r="F56" s="1287"/>
      <c r="G56" s="1287"/>
      <c r="H56" s="1287"/>
      <c r="I56" s="1287"/>
      <c r="J56" s="1287"/>
      <c r="K56" s="1287"/>
      <c r="L56" s="1287"/>
      <c r="M56" s="1287"/>
      <c r="N56" s="1287"/>
      <c r="O56" s="1287"/>
      <c r="P56" s="1287"/>
      <c r="Q56" s="1287"/>
      <c r="R56" s="1287"/>
      <c r="S56" s="1287"/>
      <c r="T56" s="1287"/>
      <c r="U56" s="1287"/>
      <c r="V56" s="1287"/>
      <c r="W56" s="1287"/>
      <c r="X56" s="1287"/>
      <c r="Y56" s="1287"/>
      <c r="Z56" s="1287"/>
      <c r="AA56" s="1287"/>
      <c r="AB56" s="1287"/>
      <c r="AC56" s="1287"/>
      <c r="AD56" s="1287"/>
      <c r="AE56" s="1287"/>
      <c r="AF56" s="1287"/>
      <c r="AG56" s="1287"/>
      <c r="AH56" s="1287"/>
      <c r="AI56" s="1287"/>
      <c r="AJ56" s="1288"/>
    </row>
    <row r="57" spans="1:36" s="1" customFormat="1" ht="21" customHeight="1" thickBot="1">
      <c r="A57" s="1264" t="s">
        <v>117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130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s="1" customFormat="1" ht="21" customHeight="1" thickBot="1">
      <c r="A58" s="1264" t="s">
        <v>131</v>
      </c>
      <c r="B58" s="1265"/>
      <c r="C58" s="1266"/>
      <c r="D58" s="1266"/>
      <c r="E58" s="1266"/>
      <c r="F58" s="1266"/>
      <c r="G58" s="1266"/>
      <c r="H58" s="1266"/>
      <c r="I58" s="1266"/>
      <c r="J58" s="1266"/>
      <c r="K58" s="1266"/>
      <c r="L58" s="1266"/>
      <c r="M58" s="1266"/>
      <c r="N58" s="1266"/>
      <c r="O58" s="1266"/>
      <c r="P58" s="1266"/>
      <c r="Q58" s="1267"/>
      <c r="R58" s="1268" t="s">
        <v>132</v>
      </c>
      <c r="S58" s="1266"/>
      <c r="T58" s="1266"/>
      <c r="U58" s="1266"/>
      <c r="V58" s="1266"/>
      <c r="W58" s="1266"/>
      <c r="X58" s="1266"/>
      <c r="Y58" s="1266"/>
      <c r="Z58" s="1266"/>
      <c r="AA58" s="1266"/>
      <c r="AB58" s="1266"/>
      <c r="AC58" s="1266"/>
      <c r="AD58" s="1266"/>
      <c r="AE58" s="1266"/>
      <c r="AF58" s="1266"/>
      <c r="AG58" s="1266"/>
      <c r="AH58" s="1266"/>
      <c r="AI58" s="1266"/>
      <c r="AJ58" s="1267"/>
    </row>
    <row r="59" spans="1:36" ht="6" customHeight="1"/>
    <row r="60" spans="1:36" ht="14.25" customHeight="1">
      <c r="A60" s="1248" t="s">
        <v>246</v>
      </c>
      <c r="B60" s="1249"/>
      <c r="C60" s="1249"/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50"/>
      <c r="Y60" s="1239" t="s">
        <v>342</v>
      </c>
      <c r="Z60" s="1240"/>
      <c r="AA60" s="1240"/>
      <c r="AB60" s="1240"/>
      <c r="AC60" s="1240"/>
      <c r="AD60" s="1241"/>
      <c r="AE60" s="1230">
        <f ca="1">TODAY()</f>
        <v>45897</v>
      </c>
      <c r="AF60" s="1231"/>
      <c r="AG60" s="1231"/>
      <c r="AH60" s="1231"/>
      <c r="AI60" s="1231"/>
      <c r="AJ60" s="1232"/>
    </row>
    <row r="61" spans="1:36" ht="12.75" customHeight="1">
      <c r="A61" s="1251"/>
      <c r="B61" s="1252"/>
      <c r="C61" s="1252"/>
      <c r="D61" s="1252"/>
      <c r="E61" s="1252"/>
      <c r="F61" s="1252"/>
      <c r="G61" s="1252"/>
      <c r="H61" s="1252"/>
      <c r="I61" s="1252"/>
      <c r="J61" s="1252"/>
      <c r="K61" s="1252"/>
      <c r="L61" s="1252"/>
      <c r="M61" s="1252"/>
      <c r="N61" s="1252"/>
      <c r="O61" s="1252"/>
      <c r="P61" s="1252"/>
      <c r="Q61" s="1252"/>
      <c r="R61" s="1252"/>
      <c r="S61" s="1252"/>
      <c r="T61" s="1252"/>
      <c r="U61" s="1252"/>
      <c r="V61" s="1252"/>
      <c r="W61" s="1252"/>
      <c r="X61" s="1253"/>
      <c r="Y61" s="1242"/>
      <c r="Z61" s="1243"/>
      <c r="AA61" s="1243"/>
      <c r="AB61" s="1243"/>
      <c r="AC61" s="1243"/>
      <c r="AD61" s="1244"/>
      <c r="AE61" s="1233"/>
      <c r="AF61" s="1234"/>
      <c r="AG61" s="1234"/>
      <c r="AH61" s="1234"/>
      <c r="AI61" s="1234"/>
      <c r="AJ61" s="1235"/>
    </row>
    <row r="62" spans="1:36" ht="18" customHeight="1">
      <c r="A62" s="1254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55"/>
      <c r="P62" s="1255"/>
      <c r="Q62" s="1255"/>
      <c r="R62" s="1255"/>
      <c r="S62" s="1255"/>
      <c r="T62" s="1255"/>
      <c r="U62" s="1255"/>
      <c r="V62" s="1255"/>
      <c r="W62" s="1255"/>
      <c r="X62" s="1256"/>
      <c r="Y62" s="1245"/>
      <c r="Z62" s="1246"/>
      <c r="AA62" s="1246"/>
      <c r="AB62" s="1246"/>
      <c r="AC62" s="1246"/>
      <c r="AD62" s="1247"/>
      <c r="AE62" s="1236"/>
      <c r="AF62" s="1237"/>
      <c r="AG62" s="1237"/>
      <c r="AH62" s="1237"/>
      <c r="AI62" s="1237"/>
      <c r="AJ62" s="1238"/>
    </row>
  </sheetData>
  <mergeCells count="89">
    <mergeCell ref="A56:AJ56"/>
    <mergeCell ref="A57:Q57"/>
    <mergeCell ref="R57:AJ57"/>
    <mergeCell ref="A58:Q58"/>
    <mergeCell ref="R58:AJ58"/>
    <mergeCell ref="A60:X62"/>
    <mergeCell ref="Y60:AD62"/>
    <mergeCell ref="AE60:AJ62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M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2</v>
      </c>
      <c r="D2" t="str">
        <f>VLOOKUP(A2,Eigaben!Y8:AC14,5,0)</f>
        <v xml:space="preserve">1/16 Final 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 xml:space="preserve">1/16 Final </v>
      </c>
      <c r="B5" s="1370"/>
      <c r="C5" s="1370"/>
      <c r="D5" s="1370"/>
      <c r="E5" s="1371"/>
      <c r="F5" s="1211">
        <f>VLOOKUP($A$2,Eigaben!$Y$8:$AC$14,2,1)</f>
        <v>45782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45821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v>16</v>
      </c>
      <c r="Z5" s="394"/>
      <c r="AA5" s="396"/>
      <c r="AC5" s="156"/>
      <c r="AD5" s="265"/>
      <c r="AE5" s="172"/>
    </row>
    <row r="6" spans="1:33" ht="9" customHeight="1" thickBot="1">
      <c r="A6" s="363">
        <f>Eigaben!F43</f>
        <v>52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Eigaben!G43</f>
        <v>66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Vordemwald 2  ( 1. Liga W)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Elgg-Ettenhausen 1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Reto Von Ballmoos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Markus Fehr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Rotfarbstr 9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Hintergasse 3a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8353 Elgg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079 721 45 82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078 613 39 28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reto.vonballmoos@gmail.com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fehr.markus@bluewin.ch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Eigaben!B43</f>
        <v>16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IF(Eigaben!C43=0,"",VLOOKUP(C13,Eigaben!$C$28:$V$109,13,0))</f>
        <v>45791</v>
      </c>
      <c r="B15" s="1199"/>
      <c r="C15" s="1199"/>
      <c r="D15" s="1199"/>
      <c r="E15" s="1199"/>
      <c r="F15" s="1199"/>
      <c r="G15" s="1194">
        <f>IF(Eigaben!C43=0,"",VLOOKUP(C13,Eigaben!$C$28:$V$110,14,0))</f>
        <v>0.8125</v>
      </c>
      <c r="H15" s="1194"/>
      <c r="I15" s="1194"/>
      <c r="J15" s="1194"/>
      <c r="K15" s="1194"/>
      <c r="L15" s="1195" t="str">
        <f>IF(Eigaben!C43=0,"",VLOOKUP(C13,Eigaben!$C$28:$V$1110,15,0))</f>
        <v>Vordemwald</v>
      </c>
      <c r="M15" s="1196"/>
      <c r="N15" s="1196"/>
      <c r="O15" s="1196"/>
      <c r="P15" s="1196"/>
      <c r="Q15" s="1196"/>
      <c r="R15" s="1196"/>
      <c r="S15" s="1197"/>
      <c r="T15" s="1195" t="str">
        <f>IF(Eigaben!C43=0,"",VLOOKUP(C13,Eigaben!$C$28:$V$110,16,0))</f>
        <v>Sportplatz Schulhaus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Eigaben!T43</f>
        <v>44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Stephan Wagner</v>
      </c>
      <c r="B19" s="1362"/>
      <c r="C19" s="1362"/>
      <c r="D19" s="1362"/>
      <c r="E19" s="1362"/>
      <c r="F19" s="1363"/>
      <c r="G19" s="860" t="str">
        <f>IF(C16=0,"",VLOOKUP(C16,Schiri_25!A2:L181,9,1))</f>
        <v>+41 79 651 82 59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+41 62 393 19 07</v>
      </c>
      <c r="N19" s="1408"/>
      <c r="O19" s="1408"/>
      <c r="P19" s="1408"/>
      <c r="Q19" s="902"/>
      <c r="R19" s="1364" t="str">
        <f>IF(C16=0,"",VLOOKUP(C16,Schiri_25!A2:L181,12,1))</f>
        <v>t.s.wagner@bluewin.ch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Eigaben!V43</f>
        <v>18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Eigaben!S43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39" priority="20" stopIfTrue="1" operator="greaterThan">
      <formula>$C$41</formula>
    </cfRule>
  </conditionalFormatting>
  <conditionalFormatting sqref="C41">
    <cfRule type="cellIs" dxfId="338" priority="10" stopIfTrue="1" operator="greaterThan">
      <formula>$A$41</formula>
    </cfRule>
    <cfRule type="cellIs" dxfId="337" priority="11" stopIfTrue="1" operator="greaterThan">
      <formula>$A$41</formula>
    </cfRule>
  </conditionalFormatting>
  <conditionalFormatting sqref="D41">
    <cfRule type="cellIs" dxfId="336" priority="19" stopIfTrue="1" operator="greaterThan">
      <formula>$F$41</formula>
    </cfRule>
  </conditionalFormatting>
  <conditionalFormatting sqref="F41">
    <cfRule type="cellIs" dxfId="335" priority="9" stopIfTrue="1" operator="greaterThan">
      <formula>$D$41</formula>
    </cfRule>
  </conditionalFormatting>
  <conditionalFormatting sqref="G41">
    <cfRule type="cellIs" dxfId="334" priority="18" stopIfTrue="1" operator="greaterThan">
      <formula>$I$41</formula>
    </cfRule>
  </conditionalFormatting>
  <conditionalFormatting sqref="I41">
    <cfRule type="cellIs" dxfId="333" priority="8" stopIfTrue="1" operator="greaterThan">
      <formula>$G$41</formula>
    </cfRule>
  </conditionalFormatting>
  <conditionalFormatting sqref="J41">
    <cfRule type="cellIs" dxfId="332" priority="17" stopIfTrue="1" operator="greaterThan">
      <formula>$L$41</formula>
    </cfRule>
  </conditionalFormatting>
  <conditionalFormatting sqref="L41">
    <cfRule type="cellIs" dxfId="331" priority="7" stopIfTrue="1" operator="greaterThan">
      <formula>$J$41</formula>
    </cfRule>
  </conditionalFormatting>
  <conditionalFormatting sqref="M41">
    <cfRule type="cellIs" dxfId="330" priority="16" stopIfTrue="1" operator="greaterThan">
      <formula>$O$41</formula>
    </cfRule>
  </conditionalFormatting>
  <conditionalFormatting sqref="O41">
    <cfRule type="cellIs" dxfId="329" priority="6" stopIfTrue="1" operator="greaterThan">
      <formula>$M$41</formula>
    </cfRule>
  </conditionalFormatting>
  <conditionalFormatting sqref="P41">
    <cfRule type="cellIs" dxfId="328" priority="15" stopIfTrue="1" operator="greaterThan">
      <formula>$R$41</formula>
    </cfRule>
  </conditionalFormatting>
  <conditionalFormatting sqref="R41">
    <cfRule type="cellIs" dxfId="327" priority="5" stopIfTrue="1" operator="greaterThan">
      <formula>$P$41</formula>
    </cfRule>
  </conditionalFormatting>
  <conditionalFormatting sqref="S41">
    <cfRule type="cellIs" dxfId="326" priority="14" stopIfTrue="1" operator="greaterThan">
      <formula>$U$41</formula>
    </cfRule>
  </conditionalFormatting>
  <conditionalFormatting sqref="U41">
    <cfRule type="cellIs" dxfId="325" priority="1" stopIfTrue="1" operator="greaterThan">
      <formula>$S$41</formula>
    </cfRule>
    <cfRule type="cellIs" dxfId="324" priority="4" stopIfTrue="1" operator="greaterThan">
      <formula>$U$41</formula>
    </cfRule>
  </conditionalFormatting>
  <conditionalFormatting sqref="V41">
    <cfRule type="cellIs" dxfId="323" priority="13" stopIfTrue="1" operator="greaterThan">
      <formula>$X$41</formula>
    </cfRule>
  </conditionalFormatting>
  <conditionalFormatting sqref="X41">
    <cfRule type="cellIs" dxfId="322" priority="3" stopIfTrue="1" operator="greaterThan">
      <formula>$V$41</formula>
    </cfRule>
  </conditionalFormatting>
  <conditionalFormatting sqref="Y41">
    <cfRule type="cellIs" dxfId="321" priority="12" stopIfTrue="1" operator="greaterThan">
      <formula>$AA$41</formula>
    </cfRule>
  </conditionalFormatting>
  <conditionalFormatting sqref="AA41">
    <cfRule type="cellIs" dxfId="320" priority="2" stopIfTrue="1" operator="greaterThan">
      <formula>$Y$41</formula>
    </cfRule>
  </conditionalFormatting>
  <hyperlinks>
    <hyperlink ref="R45" r:id="rId1" display="pabst@swissfaustball.ch" xr:uid="{00000000-0004-0000-2B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indexed="11"/>
  </sheetPr>
  <dimension ref="A1:AN59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16'!A5</f>
        <v xml:space="preserve">1/16 Final 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16'!A15</f>
        <v>45791</v>
      </c>
      <c r="F6" s="1343"/>
      <c r="G6" s="1343"/>
      <c r="H6" s="1343"/>
      <c r="I6" s="1343"/>
      <c r="J6" s="1320" t="s">
        <v>324</v>
      </c>
      <c r="K6" s="1320"/>
      <c r="L6" s="1321">
        <f>'Aufgebot 16'!G15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16'!L15</f>
        <v>Vordemwald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16'!Y5</f>
        <v>16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16'!A8</f>
        <v>STV Vordemwald 2  ( 1. Liga W)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16'!O8</f>
        <v>FG Elgg-Ettenhausen 1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826"/>
      <c r="S19" s="827"/>
      <c r="T19" s="828"/>
      <c r="U19" s="829"/>
      <c r="V19" s="830"/>
      <c r="W19" s="831" t="s">
        <v>134</v>
      </c>
      <c r="X19" s="1418" t="s">
        <v>134</v>
      </c>
      <c r="Y19" s="1419"/>
      <c r="Z19" s="1419"/>
      <c r="AA19" s="1419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16'!A19&amp;" "&amp;'Aufgebot 16'!G19</f>
        <v>Stephan Wagner +41 79 651 82 59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16'!A9</f>
        <v>Reto Von Ballmoos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16'!$G$34&gt;0,1,"")</f>
        <v>1</v>
      </c>
      <c r="H30" s="249">
        <f>IF('Aufgebot 16'!$G$34&gt;0,2,"")</f>
        <v>2</v>
      </c>
      <c r="I30" s="249">
        <f>IF('Aufgebot 16'!$G$34=3,3,"")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16'!$G$34&gt;0,1,"")</f>
        <v>1</v>
      </c>
      <c r="H32" s="249">
        <f>IF('Aufgebot 16'!$G$34&gt;0,2,"")</f>
        <v>2</v>
      </c>
      <c r="I32" s="249">
        <f>IF('Aufgebot 16'!$G$34=3,3,"")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16'!$G$34&gt;0,1,"")</f>
        <v>1</v>
      </c>
      <c r="H34" s="249">
        <f>IF('Aufgebot 16'!$G$34&gt;0,2,"")</f>
        <v>2</v>
      </c>
      <c r="I34" s="249">
        <f>IF('Aufgebot 16'!$G$34=3,3,"")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16'!$G$34&gt;0,1,"")</f>
        <v>1</v>
      </c>
      <c r="H36" s="249">
        <f>IF('Aufgebot 16'!$G$34&gt;0,2,"")</f>
        <v>2</v>
      </c>
      <c r="I36" s="249">
        <f>IF('Aufgebot 16'!$G$34=3,3,"")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16'!$G$34&gt;0,1,"")</f>
        <v>1</v>
      </c>
      <c r="H39" s="249">
        <f>IF('Aufgebot 16'!$G$34&gt;0,2,"")</f>
        <v>2</v>
      </c>
      <c r="I39" s="249">
        <f>IF('Aufgebot 16'!$G$34=3,3,"")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16'!$G$34&gt;0,1,"")</f>
        <v>1</v>
      </c>
      <c r="H41" s="249">
        <f>IF('Aufgebot 16'!$G$34&gt;0,2,"")</f>
        <v>2</v>
      </c>
      <c r="I41" s="249">
        <f>IF('Aufgebot 16'!$G$34=3,3,"")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16'!$G$34&gt;0,1,"")</f>
        <v>1</v>
      </c>
      <c r="H43" s="249">
        <f>IF('Aufgebot 16'!$G$34&gt;0,2,"")</f>
        <v>2</v>
      </c>
      <c r="I43" s="249">
        <f>IF('Aufgebot 16'!$G$34=3,3,"")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16'!$G$34&gt;0,1,"")</f>
        <v>1</v>
      </c>
      <c r="H45" s="249">
        <f>IF('Aufgebot 16'!$G$34&gt;0,2,"")</f>
        <v>2</v>
      </c>
      <c r="I45" s="249">
        <f>IF('Aufgebot 16'!$G$34=3,3,"")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16'!$G$34&gt;0,1,"")</f>
        <v>1</v>
      </c>
      <c r="H48" s="249">
        <f>IF('Aufgebot 16'!$G$34&gt;0,2,"")</f>
        <v>2</v>
      </c>
      <c r="I48" s="249">
        <f>IF('Aufgebot 16'!$G$34=3,3,"")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42" customFormat="1" ht="16" customHeight="1">
      <c r="A50" s="1313" t="s">
        <v>127</v>
      </c>
      <c r="B50" s="1314"/>
      <c r="C50" s="1315"/>
      <c r="D50" s="1315"/>
      <c r="E50" s="1316"/>
      <c r="F50" s="64" t="s">
        <v>103</v>
      </c>
      <c r="G50" s="64"/>
      <c r="H50" s="65"/>
      <c r="I50" s="1312" t="s">
        <v>102</v>
      </c>
      <c r="J50" s="1290"/>
      <c r="K50" s="1291"/>
      <c r="L50" s="1289" t="s">
        <v>101</v>
      </c>
      <c r="M50" s="1290"/>
      <c r="N50" s="1291"/>
      <c r="O50" s="1289" t="s">
        <v>100</v>
      </c>
      <c r="P50" s="1290"/>
      <c r="Q50" s="1291"/>
      <c r="R50" s="1289" t="s">
        <v>99</v>
      </c>
      <c r="S50" s="1290"/>
      <c r="T50" s="1290"/>
      <c r="U50" s="1291"/>
      <c r="V50" s="1289" t="s">
        <v>98</v>
      </c>
      <c r="W50" s="1290"/>
      <c r="X50" s="1291"/>
      <c r="Y50" s="1289" t="s">
        <v>97</v>
      </c>
      <c r="Z50" s="1290"/>
      <c r="AA50" s="1290"/>
      <c r="AB50" s="1312" t="s">
        <v>96</v>
      </c>
      <c r="AC50" s="1290"/>
      <c r="AD50" s="1291"/>
      <c r="AE50" s="1289" t="s">
        <v>95</v>
      </c>
      <c r="AF50" s="1290"/>
      <c r="AG50" s="1291"/>
      <c r="AH50" s="1257"/>
      <c r="AI50" s="1257"/>
      <c r="AJ50" s="1258"/>
    </row>
    <row r="51" spans="1:36" ht="19" customHeight="1" thickBot="1">
      <c r="A51" s="1317"/>
      <c r="B51" s="1318"/>
      <c r="C51" s="1318"/>
      <c r="D51" s="1318"/>
      <c r="E51" s="1319"/>
      <c r="F51" s="66"/>
      <c r="G51" s="130" t="s">
        <v>3</v>
      </c>
      <c r="H51" s="131"/>
      <c r="I51" s="132"/>
      <c r="J51" s="130" t="s">
        <v>3</v>
      </c>
      <c r="K51" s="131"/>
      <c r="L51" s="132"/>
      <c r="M51" s="130" t="s">
        <v>3</v>
      </c>
      <c r="N51" s="131"/>
      <c r="O51" s="132"/>
      <c r="P51" s="130" t="s">
        <v>3</v>
      </c>
      <c r="Q51" s="131"/>
      <c r="R51" s="132"/>
      <c r="S51" s="130" t="s">
        <v>3</v>
      </c>
      <c r="T51" s="130"/>
      <c r="U51" s="131"/>
      <c r="V51" s="132"/>
      <c r="W51" s="130" t="s">
        <v>3</v>
      </c>
      <c r="X51" s="131"/>
      <c r="Y51" s="132"/>
      <c r="Z51" s="130" t="s">
        <v>3</v>
      </c>
      <c r="AA51" s="131"/>
      <c r="AB51" s="132"/>
      <c r="AC51" s="130" t="s">
        <v>3</v>
      </c>
      <c r="AD51" s="131"/>
      <c r="AE51" s="132"/>
      <c r="AF51" s="130" t="s">
        <v>3</v>
      </c>
      <c r="AG51" s="67"/>
      <c r="AH51" s="1259"/>
      <c r="AI51" s="1259"/>
      <c r="AJ51" s="1260"/>
    </row>
    <row r="52" spans="1:36" ht="19" customHeight="1">
      <c r="A52" s="1269" t="s">
        <v>94</v>
      </c>
      <c r="B52" s="1270"/>
      <c r="C52" s="1271"/>
      <c r="D52" s="1271"/>
      <c r="E52" s="1272"/>
      <c r="F52" s="68"/>
      <c r="G52" s="228"/>
      <c r="H52" s="69"/>
      <c r="I52" s="68"/>
      <c r="J52" s="228"/>
      <c r="K52" s="69"/>
      <c r="L52" s="68"/>
      <c r="M52" s="228"/>
      <c r="N52" s="69"/>
      <c r="O52" s="68"/>
      <c r="P52" s="228"/>
      <c r="Q52" s="69"/>
      <c r="R52" s="68"/>
      <c r="S52" s="228"/>
      <c r="T52" s="228"/>
      <c r="U52" s="69"/>
      <c r="V52" s="68"/>
      <c r="W52" s="228"/>
      <c r="X52" s="69"/>
      <c r="Y52" s="68"/>
      <c r="Z52" s="1282" t="s">
        <v>151</v>
      </c>
      <c r="AA52" s="1283"/>
      <c r="AB52" s="1283"/>
      <c r="AC52" s="1283"/>
      <c r="AD52" s="1284"/>
      <c r="AE52" s="1276" t="s">
        <v>128</v>
      </c>
      <c r="AF52" s="1277"/>
      <c r="AG52" s="1277"/>
      <c r="AH52" s="1277"/>
      <c r="AI52" s="1277"/>
      <c r="AJ52" s="1278"/>
    </row>
    <row r="53" spans="1:36" ht="19" customHeight="1" thickBot="1">
      <c r="A53" s="1273"/>
      <c r="B53" s="1274"/>
      <c r="C53" s="1274"/>
      <c r="D53" s="1274"/>
      <c r="E53" s="1275"/>
      <c r="F53" s="70"/>
      <c r="G53" s="71"/>
      <c r="H53" s="206"/>
      <c r="I53" s="70"/>
      <c r="J53" s="71"/>
      <c r="K53" s="206"/>
      <c r="L53" s="70"/>
      <c r="M53" s="71"/>
      <c r="N53" s="206"/>
      <c r="O53" s="70"/>
      <c r="P53" s="71"/>
      <c r="Q53" s="206"/>
      <c r="R53" s="70"/>
      <c r="S53" s="71"/>
      <c r="T53" s="71"/>
      <c r="U53" s="206"/>
      <c r="V53" s="70"/>
      <c r="W53" s="71"/>
      <c r="X53" s="206"/>
      <c r="Y53" s="70"/>
      <c r="Z53" s="1261" t="s">
        <v>3</v>
      </c>
      <c r="AA53" s="1262"/>
      <c r="AB53" s="1262"/>
      <c r="AC53" s="1262"/>
      <c r="AD53" s="1263"/>
      <c r="AE53" s="1279" t="s">
        <v>3</v>
      </c>
      <c r="AF53" s="1280"/>
      <c r="AG53" s="1280"/>
      <c r="AH53" s="1280"/>
      <c r="AI53" s="1280"/>
      <c r="AJ53" s="1281"/>
    </row>
    <row r="54" spans="1:36" ht="17.149999999999999" customHeight="1" thickBot="1">
      <c r="A54" s="1285" t="s">
        <v>129</v>
      </c>
      <c r="B54" s="1286"/>
      <c r="C54" s="1287"/>
      <c r="D54" s="1287"/>
      <c r="E54" s="1287"/>
      <c r="F54" s="1287"/>
      <c r="G54" s="1287"/>
      <c r="H54" s="1287"/>
      <c r="I54" s="1287"/>
      <c r="J54" s="1287"/>
      <c r="K54" s="1287"/>
      <c r="L54" s="1287"/>
      <c r="M54" s="1287"/>
      <c r="N54" s="1287"/>
      <c r="O54" s="1287"/>
      <c r="P54" s="1287"/>
      <c r="Q54" s="1287"/>
      <c r="R54" s="1287"/>
      <c r="S54" s="1287"/>
      <c r="T54" s="1287"/>
      <c r="U54" s="1287"/>
      <c r="V54" s="1287"/>
      <c r="W54" s="1287"/>
      <c r="X54" s="1287"/>
      <c r="Y54" s="1287"/>
      <c r="Z54" s="1287"/>
      <c r="AA54" s="1287"/>
      <c r="AB54" s="1287"/>
      <c r="AC54" s="1287"/>
      <c r="AD54" s="1287"/>
      <c r="AE54" s="1287"/>
      <c r="AF54" s="1287"/>
      <c r="AG54" s="1287"/>
      <c r="AH54" s="1287"/>
      <c r="AI54" s="1287"/>
      <c r="AJ54" s="1288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14.25" customHeight="1">
      <c r="A57" s="1248" t="s">
        <v>246</v>
      </c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1250"/>
      <c r="Y57" s="1239" t="s">
        <v>342</v>
      </c>
      <c r="Z57" s="1240"/>
      <c r="AA57" s="1240"/>
      <c r="AB57" s="1240"/>
      <c r="AC57" s="1240"/>
      <c r="AD57" s="1241"/>
      <c r="AE57" s="1230">
        <f ca="1">TODAY()</f>
        <v>45897</v>
      </c>
      <c r="AF57" s="1231"/>
      <c r="AG57" s="1231"/>
      <c r="AH57" s="1231"/>
      <c r="AI57" s="1231"/>
      <c r="AJ57" s="1232"/>
    </row>
    <row r="58" spans="1:36" ht="12.75" customHeight="1">
      <c r="A58" s="1251"/>
      <c r="B58" s="1252"/>
      <c r="C58" s="1252"/>
      <c r="D58" s="1252"/>
      <c r="E58" s="1252"/>
      <c r="F58" s="1252"/>
      <c r="G58" s="1252"/>
      <c r="H58" s="1252"/>
      <c r="I58" s="1252"/>
      <c r="J58" s="1252"/>
      <c r="K58" s="1252"/>
      <c r="L58" s="1252"/>
      <c r="M58" s="1252"/>
      <c r="N58" s="1252"/>
      <c r="O58" s="1252"/>
      <c r="P58" s="1252"/>
      <c r="Q58" s="1252"/>
      <c r="R58" s="1252"/>
      <c r="S58" s="1252"/>
      <c r="T58" s="1252"/>
      <c r="U58" s="1252"/>
      <c r="V58" s="1252"/>
      <c r="W58" s="1252"/>
      <c r="X58" s="1253"/>
      <c r="Y58" s="1242"/>
      <c r="Z58" s="1243"/>
      <c r="AA58" s="1243"/>
      <c r="AB58" s="1243"/>
      <c r="AC58" s="1243"/>
      <c r="AD58" s="1244"/>
      <c r="AE58" s="1233"/>
      <c r="AF58" s="1234"/>
      <c r="AG58" s="1234"/>
      <c r="AH58" s="1234"/>
      <c r="AI58" s="1234"/>
      <c r="AJ58" s="1235"/>
    </row>
    <row r="59" spans="1:36" ht="18" customHeight="1">
      <c r="A59" s="1254"/>
      <c r="B59" s="1255"/>
      <c r="C59" s="1255"/>
      <c r="D59" s="1255"/>
      <c r="E59" s="1255"/>
      <c r="F59" s="1255"/>
      <c r="G59" s="1255"/>
      <c r="H59" s="1255"/>
      <c r="I59" s="1255"/>
      <c r="J59" s="1255"/>
      <c r="K59" s="1255"/>
      <c r="L59" s="1255"/>
      <c r="M59" s="1255"/>
      <c r="N59" s="1255"/>
      <c r="O59" s="1255"/>
      <c r="P59" s="1255"/>
      <c r="Q59" s="1255"/>
      <c r="R59" s="1255"/>
      <c r="S59" s="1255"/>
      <c r="T59" s="1255"/>
      <c r="U59" s="1255"/>
      <c r="V59" s="1255"/>
      <c r="W59" s="1255"/>
      <c r="X59" s="1256"/>
      <c r="Y59" s="1245"/>
      <c r="Z59" s="1246"/>
      <c r="AA59" s="1246"/>
      <c r="AB59" s="1246"/>
      <c r="AC59" s="1246"/>
      <c r="AD59" s="1247"/>
      <c r="AE59" s="1236"/>
      <c r="AF59" s="1237"/>
      <c r="AG59" s="1237"/>
      <c r="AH59" s="1237"/>
      <c r="AI59" s="1237"/>
      <c r="AJ59" s="1238"/>
    </row>
  </sheetData>
  <mergeCells count="89">
    <mergeCell ref="A54:AJ54"/>
    <mergeCell ref="A55:Q55"/>
    <mergeCell ref="R55:AJ55"/>
    <mergeCell ref="A56:Q56"/>
    <mergeCell ref="R56:AJ56"/>
    <mergeCell ref="A57:X59"/>
    <mergeCell ref="Y57:AD59"/>
    <mergeCell ref="AE57:AJ59"/>
    <mergeCell ref="AE50:AG50"/>
    <mergeCell ref="AH50:AJ51"/>
    <mergeCell ref="A52:E53"/>
    <mergeCell ref="Z52:AD52"/>
    <mergeCell ref="AE52:AJ52"/>
    <mergeCell ref="Z53:AD53"/>
    <mergeCell ref="AE53:AJ53"/>
    <mergeCell ref="L50:N50"/>
    <mergeCell ref="O50:Q50"/>
    <mergeCell ref="R50:U50"/>
    <mergeCell ref="V50:X50"/>
    <mergeCell ref="Y50:AA50"/>
    <mergeCell ref="AB50:AD50"/>
    <mergeCell ref="C36:C37"/>
    <mergeCell ref="D36:E37"/>
    <mergeCell ref="I50:K50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0:E51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16'!Y5+1</f>
        <v>17</v>
      </c>
      <c r="Z5" s="394"/>
      <c r="AA5" s="396"/>
      <c r="AC5" s="156"/>
      <c r="AD5" s="265"/>
      <c r="AE5" s="172"/>
    </row>
    <row r="6" spans="1:33" ht="9" customHeight="1" thickBot="1">
      <c r="A6" s="363">
        <f>Eigaben!F50</f>
        <v>56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Eigaben!G50</f>
        <v>54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TSV Jona 1(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Dozwil ( NLB O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Fabian Zahner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Josua Schlattinger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076 592 09 17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076 320 30 46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tkchef@fbjona.ch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j.schlattinger@gmx.ch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Eigaben!C50</f>
        <v>17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IF(Eigaben!C50=0,"",VLOOKUP(C13,Eigaben!$C$28:$V$109,13,0))</f>
        <v>45841</v>
      </c>
      <c r="B15" s="1199"/>
      <c r="C15" s="1199"/>
      <c r="D15" s="1199"/>
      <c r="E15" s="1199"/>
      <c r="F15" s="1199"/>
      <c r="G15" s="1194">
        <f>IF(Eigaben!C50=0,"",VLOOKUP(C13,Eigaben!$C$28:$V$110,14,0))</f>
        <v>0.79166666666666663</v>
      </c>
      <c r="H15" s="1194"/>
      <c r="I15" s="1194"/>
      <c r="J15" s="1194"/>
      <c r="K15" s="1194"/>
      <c r="L15" s="1195" t="str">
        <f>IF(Eigaben!C50=0,"",VLOOKUP(C13,Eigaben!$C$28:$V$1110,15,0))</f>
        <v>Jona</v>
      </c>
      <c r="M15" s="1196"/>
      <c r="N15" s="1196"/>
      <c r="O15" s="1196"/>
      <c r="P15" s="1196"/>
      <c r="Q15" s="1196"/>
      <c r="R15" s="1196"/>
      <c r="S15" s="1197"/>
      <c r="T15" s="1195" t="str">
        <f>IF(Eigaben!C50=0,"",VLOOKUP(C13,Eigaben!$C$28:$V$110,16,0))</f>
        <v>Sportplatz Grünfeld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Eigaben!T50</f>
        <v>67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Robert Meierhofer</v>
      </c>
      <c r="B19" s="1362"/>
      <c r="C19" s="1362"/>
      <c r="D19" s="1362"/>
      <c r="E19" s="1362"/>
      <c r="F19" s="1363"/>
      <c r="G19" s="860" t="str">
        <f>IF(C16=0,"",VLOOKUP(C16,Schiri_25!A2:L181,9,1))</f>
        <v>+41 79 936 39 42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robert_meierhofer@hotmail.com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Eigaben!V50</f>
        <v>5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3" t="s">
        <v>245</v>
      </c>
      <c r="F32" s="1423"/>
      <c r="G32" s="1423"/>
      <c r="H32" s="1423"/>
      <c r="I32" s="1423"/>
      <c r="J32" s="1423"/>
      <c r="K32" s="1423"/>
      <c r="L32" s="1423"/>
      <c r="M32" s="1423"/>
      <c r="N32" s="1423"/>
      <c r="O32" s="1423"/>
      <c r="P32" s="865" t="s">
        <v>1020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Eigaben!S50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19" priority="20" stopIfTrue="1" operator="greaterThan">
      <formula>$C$41</formula>
    </cfRule>
  </conditionalFormatting>
  <conditionalFormatting sqref="C41">
    <cfRule type="cellIs" dxfId="318" priority="10" stopIfTrue="1" operator="greaterThan">
      <formula>$A$41</formula>
    </cfRule>
    <cfRule type="cellIs" dxfId="317" priority="11" stopIfTrue="1" operator="greaterThan">
      <formula>$A$41</formula>
    </cfRule>
  </conditionalFormatting>
  <conditionalFormatting sqref="D41">
    <cfRule type="cellIs" dxfId="316" priority="19" stopIfTrue="1" operator="greaterThan">
      <formula>$F$41</formula>
    </cfRule>
  </conditionalFormatting>
  <conditionalFormatting sqref="F41">
    <cfRule type="cellIs" dxfId="315" priority="9" stopIfTrue="1" operator="greaterThan">
      <formula>$D$41</formula>
    </cfRule>
  </conditionalFormatting>
  <conditionalFormatting sqref="G41">
    <cfRule type="cellIs" dxfId="314" priority="18" stopIfTrue="1" operator="greaterThan">
      <formula>$I$41</formula>
    </cfRule>
  </conditionalFormatting>
  <conditionalFormatting sqref="I41">
    <cfRule type="cellIs" dxfId="313" priority="8" stopIfTrue="1" operator="greaterThan">
      <formula>$G$41</formula>
    </cfRule>
  </conditionalFormatting>
  <conditionalFormatting sqref="J41">
    <cfRule type="cellIs" dxfId="312" priority="17" stopIfTrue="1" operator="greaterThan">
      <formula>$L$41</formula>
    </cfRule>
  </conditionalFormatting>
  <conditionalFormatting sqref="L41">
    <cfRule type="cellIs" dxfId="311" priority="7" stopIfTrue="1" operator="greaterThan">
      <formula>$J$41</formula>
    </cfRule>
  </conditionalFormatting>
  <conditionalFormatting sqref="M41">
    <cfRule type="cellIs" dxfId="310" priority="16" stopIfTrue="1" operator="greaterThan">
      <formula>$O$41</formula>
    </cfRule>
  </conditionalFormatting>
  <conditionalFormatting sqref="O41">
    <cfRule type="cellIs" dxfId="309" priority="6" stopIfTrue="1" operator="greaterThan">
      <formula>$M$41</formula>
    </cfRule>
  </conditionalFormatting>
  <conditionalFormatting sqref="P41">
    <cfRule type="cellIs" dxfId="308" priority="15" stopIfTrue="1" operator="greaterThan">
      <formula>$R$41</formula>
    </cfRule>
  </conditionalFormatting>
  <conditionalFormatting sqref="R41">
    <cfRule type="cellIs" dxfId="307" priority="5" stopIfTrue="1" operator="greaterThan">
      <formula>$P$41</formula>
    </cfRule>
  </conditionalFormatting>
  <conditionalFormatting sqref="S41">
    <cfRule type="cellIs" dxfId="306" priority="14" stopIfTrue="1" operator="greaterThan">
      <formula>$U$41</formula>
    </cfRule>
  </conditionalFormatting>
  <conditionalFormatting sqref="U41">
    <cfRule type="cellIs" dxfId="305" priority="1" stopIfTrue="1" operator="greaterThan">
      <formula>$S$41</formula>
    </cfRule>
    <cfRule type="cellIs" dxfId="304" priority="4" stopIfTrue="1" operator="greaterThan">
      <formula>$U$41</formula>
    </cfRule>
  </conditionalFormatting>
  <conditionalFormatting sqref="V41">
    <cfRule type="cellIs" dxfId="303" priority="13" stopIfTrue="1" operator="greaterThan">
      <formula>$X$41</formula>
    </cfRule>
  </conditionalFormatting>
  <conditionalFormatting sqref="X41">
    <cfRule type="cellIs" dxfId="302" priority="3" stopIfTrue="1" operator="greaterThan">
      <formula>$V$41</formula>
    </cfRule>
  </conditionalFormatting>
  <conditionalFormatting sqref="Y41">
    <cfRule type="cellIs" dxfId="301" priority="12" stopIfTrue="1" operator="greaterThan">
      <formula>$AA$41</formula>
    </cfRule>
  </conditionalFormatting>
  <conditionalFormatting sqref="AA41">
    <cfRule type="cellIs" dxfId="300" priority="2" stopIfTrue="1" operator="greaterThan">
      <formula>$Y$41</formula>
    </cfRule>
  </conditionalFormatting>
  <hyperlinks>
    <hyperlink ref="R45" r:id="rId1" display="pabst@swissfaustball.ch" xr:uid="{00000000-0004-0000-2D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17'!A5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17'!A15</f>
        <v>45841</v>
      </c>
      <c r="F6" s="1343"/>
      <c r="G6" s="1343"/>
      <c r="H6" s="1343"/>
      <c r="I6" s="1343"/>
      <c r="J6" s="1320" t="s">
        <v>324</v>
      </c>
      <c r="K6" s="1320"/>
      <c r="L6" s="1321">
        <f>'Aufgebot 17'!G15</f>
        <v>0.79166666666666663</v>
      </c>
      <c r="M6" s="1321"/>
      <c r="N6" s="1321"/>
      <c r="O6" s="1320" t="s">
        <v>323</v>
      </c>
      <c r="P6" s="1320"/>
      <c r="Q6" s="1320"/>
      <c r="R6" s="1320"/>
      <c r="S6" s="1409" t="str">
        <f>'Aufgebot 17'!L15</f>
        <v>Jona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17'!Y5</f>
        <v>17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17'!A8</f>
        <v>TSV Jona 1( NLB O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17'!O8</f>
        <v>STV Dozwil ( NLB O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>
        <f>VLOOKUP($A$6,Eigaben!$Y$17:$AH$103,10,1)</f>
        <v>0</v>
      </c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826"/>
      <c r="S19" s="827"/>
      <c r="T19" s="828"/>
      <c r="U19" s="829"/>
      <c r="V19" s="830"/>
      <c r="W19" s="831" t="s">
        <v>134</v>
      </c>
      <c r="X19" s="1418" t="s">
        <v>134</v>
      </c>
      <c r="Y19" s="1419"/>
      <c r="Z19" s="1419"/>
      <c r="AA19" s="1419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17'!A19&amp;" "&amp;'Aufgebot 17'!G19</f>
        <v>Robert Meierhofer +41 79 936 39 42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416" t="str">
        <f>'Aufgebot 17'!A9</f>
        <v>Fabian Zahner</v>
      </c>
      <c r="AC23" s="1416"/>
      <c r="AD23" s="1416"/>
      <c r="AE23" s="1416"/>
      <c r="AF23" s="1416"/>
      <c r="AG23" s="1416"/>
      <c r="AH23" s="1416"/>
      <c r="AI23" s="1416"/>
      <c r="AJ23" s="1417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17'!$G$34&gt;0,1,"")</f>
        <v/>
      </c>
      <c r="H30" s="249" t="str">
        <f>IF('Aufgebot 17'!$G$34&gt;0,2,"")</f>
        <v/>
      </c>
      <c r="I30" s="249" t="str">
        <f>IF('Aufgebot 17'!$G$34=3,3,"")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17'!$G$34&gt;0,1,"")</f>
        <v/>
      </c>
      <c r="H32" s="249" t="str">
        <f>IF('Aufgebot 17'!$G$34&gt;0,2,"")</f>
        <v/>
      </c>
      <c r="I32" s="249" t="str">
        <f>IF('Aufgebot 17'!$G$34=3,3,"")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17'!$G$34&gt;0,1,"")</f>
        <v/>
      </c>
      <c r="H34" s="249" t="str">
        <f>IF('Aufgebot 17'!$G$34&gt;0,2,"")</f>
        <v/>
      </c>
      <c r="I34" s="249" t="str">
        <f>IF('Aufgebot 17'!$G$34=3,3,"")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17'!$G$34&gt;0,1,"")</f>
        <v/>
      </c>
      <c r="H36" s="249" t="str">
        <f>IF('Aufgebot 17'!$G$34&gt;0,2,"")</f>
        <v/>
      </c>
      <c r="I36" s="249" t="str">
        <f>IF('Aufgebot 17'!$G$34=3,3,"")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17'!$G$34&gt;0,1,"")</f>
        <v/>
      </c>
      <c r="H39" s="249" t="str">
        <f>IF('Aufgebot 17'!$G$34&gt;0,2,"")</f>
        <v/>
      </c>
      <c r="I39" s="249" t="str">
        <f>IF('Aufgebot 17'!$G$34=3,3,"")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17'!$G$34&gt;0,1,"")</f>
        <v/>
      </c>
      <c r="H41" s="249" t="str">
        <f>IF('Aufgebot 17'!$G$34&gt;0,2,"")</f>
        <v/>
      </c>
      <c r="I41" s="249" t="str">
        <f>IF('Aufgebot 17'!$G$34=3,3,"")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17'!$G$34&gt;0,1,"")</f>
        <v/>
      </c>
      <c r="H43" s="249" t="str">
        <f>IF('Aufgebot 17'!$G$34&gt;0,2,"")</f>
        <v/>
      </c>
      <c r="I43" s="249" t="str">
        <f>IF('Aufgebot 17'!$G$34=3,3,"")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17'!$G$34&gt;0,1,"")</f>
        <v/>
      </c>
      <c r="H45" s="249" t="str">
        <f>IF('Aufgebot 17'!$G$34&gt;0,2,"")</f>
        <v/>
      </c>
      <c r="I45" s="249" t="str">
        <f>IF('Aufgebot 17'!$G$34=3,3,"")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17'!$G$34&gt;0,1,"")</f>
        <v/>
      </c>
      <c r="H48" s="249" t="str">
        <f>IF('Aufgebot 17'!$G$34&gt;0,2,"")</f>
        <v/>
      </c>
      <c r="I48" s="249" t="str">
        <f>IF('Aufgebot 17'!$G$34=3,3,"")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f>'Aufgebot 17'!A2</f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17'!Y5+1</f>
        <v>18</v>
      </c>
      <c r="Z5" s="394"/>
      <c r="AA5" s="396"/>
      <c r="AC5" s="156"/>
      <c r="AD5" s="265"/>
      <c r="AE5" s="172"/>
    </row>
    <row r="6" spans="1:33" ht="9" customHeight="1" thickBot="1">
      <c r="A6" s="363">
        <f>Eigaben!F51</f>
        <v>59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Eigaben!G51</f>
        <v>65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Rickenbach-Wilen 2 ( NLB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SVD Diepoldsau-Schmitter (NLA)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Jonas Hess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Lorena Lipp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47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9443 Widnau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079 900 69 17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076 573 09 99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spiko@fgriwi.ch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spiko@faustball-svd.clubdesk.com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Eigaben!D51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str">
        <f>IF(Eigaben!D51=0,"",VLOOKUP(C13,Eigaben!$C$28:$V$109,13,0))</f>
        <v/>
      </c>
      <c r="B15" s="1199"/>
      <c r="C15" s="1199"/>
      <c r="D15" s="1199"/>
      <c r="E15" s="1199"/>
      <c r="F15" s="1199"/>
      <c r="G15" s="1194" t="str">
        <f>IF(Eigaben!D51=0,"",VLOOKUP(C13,Eigaben!$C$28:$V$110,14,0))</f>
        <v/>
      </c>
      <c r="H15" s="1194"/>
      <c r="I15" s="1194"/>
      <c r="J15" s="1194"/>
      <c r="K15" s="1194"/>
      <c r="L15" s="1195" t="str">
        <f>IF(Eigaben!D51=0,"",VLOOKUP(C13,Eigaben!$C$28:$V$1110,15,0))</f>
        <v/>
      </c>
      <c r="M15" s="1196"/>
      <c r="N15" s="1196"/>
      <c r="O15" s="1196"/>
      <c r="P15" s="1196"/>
      <c r="Q15" s="1196"/>
      <c r="R15" s="1196"/>
      <c r="S15" s="1197"/>
      <c r="T15" s="1195" t="str">
        <f>IF(Eigaben!D51=0,"",VLOOKUP(C13,Eigaben!$C$28:$V$110,16,0))</f>
        <v/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Eigaben!T51</f>
        <v>15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Fredy Sprenger</v>
      </c>
      <c r="B19" s="1362"/>
      <c r="C19" s="1362"/>
      <c r="D19" s="1362"/>
      <c r="E19" s="1362"/>
      <c r="F19" s="1363"/>
      <c r="G19" s="860" t="str">
        <f>IF(C16=0,"",VLOOKUP(C16,Schiri_25!A2:L181,9,1))</f>
        <v>+41 79 791 22 59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+41 71 923 26 08</v>
      </c>
      <c r="N19" s="1408"/>
      <c r="O19" s="1408"/>
      <c r="P19" s="1408"/>
      <c r="Q19" s="902"/>
      <c r="R19" s="1364" t="str">
        <f>IF(C16=0,"",VLOOKUP(C16,Schiri_25!A2:L181,12,1))</f>
        <v>f.sprenger@thurweb.ch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str">
        <f>IF(G15="","",G15-"00:15:00")</f>
        <v/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Eigaben!V51</f>
        <v>0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3" t="s">
        <v>245</v>
      </c>
      <c r="F32" s="1423"/>
      <c r="G32" s="1423"/>
      <c r="H32" s="1423"/>
      <c r="I32" s="1423"/>
      <c r="J32" s="1423"/>
      <c r="K32" s="1423"/>
      <c r="L32" s="1423"/>
      <c r="M32" s="1423"/>
      <c r="N32" s="1423"/>
      <c r="O32" s="1423"/>
      <c r="P32" s="865" t="s">
        <v>1020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Eigaben!S51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299" priority="20" stopIfTrue="1" operator="greaterThan">
      <formula>$C$41</formula>
    </cfRule>
  </conditionalFormatting>
  <conditionalFormatting sqref="C41">
    <cfRule type="cellIs" dxfId="298" priority="10" stopIfTrue="1" operator="greaterThan">
      <formula>$A$41</formula>
    </cfRule>
    <cfRule type="cellIs" dxfId="297" priority="11" stopIfTrue="1" operator="greaterThan">
      <formula>$A$41</formula>
    </cfRule>
  </conditionalFormatting>
  <conditionalFormatting sqref="D41">
    <cfRule type="cellIs" dxfId="296" priority="19" stopIfTrue="1" operator="greaterThan">
      <formula>$F$41</formula>
    </cfRule>
  </conditionalFormatting>
  <conditionalFormatting sqref="F41">
    <cfRule type="cellIs" dxfId="295" priority="9" stopIfTrue="1" operator="greaterThan">
      <formula>$D$41</formula>
    </cfRule>
  </conditionalFormatting>
  <conditionalFormatting sqref="G41">
    <cfRule type="cellIs" dxfId="294" priority="18" stopIfTrue="1" operator="greaterThan">
      <formula>$I$41</formula>
    </cfRule>
  </conditionalFormatting>
  <conditionalFormatting sqref="I41">
    <cfRule type="cellIs" dxfId="293" priority="8" stopIfTrue="1" operator="greaterThan">
      <formula>$G$41</formula>
    </cfRule>
  </conditionalFormatting>
  <conditionalFormatting sqref="J41">
    <cfRule type="cellIs" dxfId="292" priority="17" stopIfTrue="1" operator="greaterThan">
      <formula>$L$41</formula>
    </cfRule>
  </conditionalFormatting>
  <conditionalFormatting sqref="L41">
    <cfRule type="cellIs" dxfId="291" priority="7" stopIfTrue="1" operator="greaterThan">
      <formula>$J$41</formula>
    </cfRule>
  </conditionalFormatting>
  <conditionalFormatting sqref="M41">
    <cfRule type="cellIs" dxfId="290" priority="16" stopIfTrue="1" operator="greaterThan">
      <formula>$O$41</formula>
    </cfRule>
  </conditionalFormatting>
  <conditionalFormatting sqref="O41">
    <cfRule type="cellIs" dxfId="289" priority="6" stopIfTrue="1" operator="greaterThan">
      <formula>$M$41</formula>
    </cfRule>
  </conditionalFormatting>
  <conditionalFormatting sqref="P41">
    <cfRule type="cellIs" dxfId="288" priority="15" stopIfTrue="1" operator="greaterThan">
      <formula>$R$41</formula>
    </cfRule>
  </conditionalFormatting>
  <conditionalFormatting sqref="R41">
    <cfRule type="cellIs" dxfId="287" priority="5" stopIfTrue="1" operator="greaterThan">
      <formula>$P$41</formula>
    </cfRule>
  </conditionalFormatting>
  <conditionalFormatting sqref="S41">
    <cfRule type="cellIs" dxfId="286" priority="14" stopIfTrue="1" operator="greaterThan">
      <formula>$U$41</formula>
    </cfRule>
  </conditionalFormatting>
  <conditionalFormatting sqref="U41">
    <cfRule type="cellIs" dxfId="285" priority="1" stopIfTrue="1" operator="greaterThan">
      <formula>$S$41</formula>
    </cfRule>
    <cfRule type="cellIs" dxfId="284" priority="4" stopIfTrue="1" operator="greaterThan">
      <formula>$U$41</formula>
    </cfRule>
  </conditionalFormatting>
  <conditionalFormatting sqref="V41">
    <cfRule type="cellIs" dxfId="283" priority="13" stopIfTrue="1" operator="greaterThan">
      <formula>$X$41</formula>
    </cfRule>
  </conditionalFormatting>
  <conditionalFormatting sqref="X41">
    <cfRule type="cellIs" dxfId="282" priority="3" stopIfTrue="1" operator="greaterThan">
      <formula>$V$41</formula>
    </cfRule>
  </conditionalFormatting>
  <conditionalFormatting sqref="Y41">
    <cfRule type="cellIs" dxfId="281" priority="12" stopIfTrue="1" operator="greaterThan">
      <formula>$AA$41</formula>
    </cfRule>
  </conditionalFormatting>
  <conditionalFormatting sqref="AA41">
    <cfRule type="cellIs" dxfId="280" priority="2" stopIfTrue="1" operator="greaterThan">
      <formula>$Y$41</formula>
    </cfRule>
  </conditionalFormatting>
  <hyperlinks>
    <hyperlink ref="R45" r:id="rId1" display="pabst@swissfaustball.ch" xr:uid="{00000000-0004-0000-2F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2"/>
  <sheetViews>
    <sheetView workbookViewId="0"/>
  </sheetViews>
  <sheetFormatPr baseColWidth="10" defaultColWidth="11.453125" defaultRowHeight="12.5"/>
  <cols>
    <col min="1" max="1" width="11.453125" style="30"/>
    <col min="2" max="2" width="51" style="37" bestFit="1" customWidth="1"/>
    <col min="3" max="5" width="11.453125" style="37"/>
    <col min="6" max="6" width="11.453125" style="30"/>
    <col min="7" max="7" width="62.1796875" style="37" bestFit="1" customWidth="1"/>
    <col min="8" max="16384" width="11.453125" style="37"/>
  </cols>
  <sheetData>
    <row r="1" spans="1:9" ht="26" thickTop="1" thickBot="1">
      <c r="A1" s="466">
        <f>Eigaben!Y54</f>
        <v>38</v>
      </c>
      <c r="B1" s="721" t="str">
        <f>Eigaben!Z54</f>
        <v>TSV Waldkirch ( 3. Liga F )</v>
      </c>
      <c r="C1" s="463"/>
      <c r="D1" s="463">
        <v>54</v>
      </c>
      <c r="E1" s="318"/>
      <c r="F1" s="119"/>
      <c r="G1" s="318"/>
      <c r="H1" s="318"/>
      <c r="I1" s="318"/>
    </row>
    <row r="2" spans="1:9" ht="15" customHeight="1" thickTop="1" thickBot="1">
      <c r="A2" s="466"/>
      <c r="B2" s="464"/>
      <c r="C2" s="463"/>
      <c r="D2" s="463"/>
      <c r="E2" s="318"/>
      <c r="F2" s="119"/>
      <c r="G2" s="318"/>
      <c r="H2" s="318"/>
      <c r="I2" s="318"/>
    </row>
    <row r="3" spans="1:9" ht="15" customHeight="1" thickTop="1" thickBot="1">
      <c r="A3" s="466"/>
      <c r="B3" s="464"/>
      <c r="C3" s="463"/>
      <c r="D3" s="463"/>
      <c r="E3" s="318"/>
      <c r="F3" s="119"/>
      <c r="G3" s="318"/>
      <c r="H3" s="318"/>
      <c r="I3" s="318"/>
    </row>
    <row r="4" spans="1:9" ht="26" thickTop="1" thickBot="1">
      <c r="A4" s="466">
        <f>A1+1</f>
        <v>39</v>
      </c>
      <c r="B4" s="719" t="str">
        <f>Eigaben!Z55</f>
        <v>MR Beringen ( 2. Liga )</v>
      </c>
      <c r="C4" s="720"/>
      <c r="D4" s="463">
        <v>55</v>
      </c>
      <c r="E4" s="318"/>
      <c r="F4" s="119"/>
      <c r="G4" s="318"/>
      <c r="H4" s="318"/>
      <c r="I4" s="318"/>
    </row>
    <row r="5" spans="1:9" ht="15" customHeight="1" thickTop="1" thickBot="1">
      <c r="A5" s="466"/>
      <c r="B5" s="464"/>
      <c r="C5" s="463"/>
      <c r="D5" s="463"/>
      <c r="E5" s="318"/>
      <c r="F5" s="119"/>
      <c r="G5" s="318"/>
      <c r="H5" s="318"/>
      <c r="I5" s="318"/>
    </row>
    <row r="6" spans="1:9" ht="15" customHeight="1" thickTop="1" thickBot="1">
      <c r="A6" s="466"/>
      <c r="B6" s="464"/>
      <c r="C6" s="463"/>
      <c r="D6" s="463"/>
      <c r="E6" s="318"/>
      <c r="F6" s="119"/>
      <c r="G6" s="318"/>
      <c r="H6" s="318"/>
      <c r="I6" s="318"/>
    </row>
    <row r="7" spans="1:9" ht="26" thickTop="1" thickBot="1">
      <c r="A7" s="466">
        <f>A4+1</f>
        <v>40</v>
      </c>
      <c r="B7" s="719" t="str">
        <f>Eigaben!Z56</f>
        <v>STV Elgg ( 2. Liga )</v>
      </c>
      <c r="C7" s="463"/>
      <c r="D7" s="463">
        <v>56</v>
      </c>
      <c r="E7" s="318"/>
      <c r="F7" s="119"/>
      <c r="G7" s="318"/>
      <c r="H7" s="318"/>
      <c r="I7" s="318"/>
    </row>
    <row r="8" spans="1:9" ht="15" customHeight="1" thickTop="1" thickBot="1">
      <c r="A8" s="466"/>
      <c r="B8" s="464"/>
      <c r="C8" s="463"/>
      <c r="D8" s="463"/>
      <c r="E8" s="318"/>
      <c r="F8" s="119"/>
      <c r="G8" s="318"/>
      <c r="H8" s="318"/>
      <c r="I8" s="318"/>
    </row>
    <row r="9" spans="1:9" ht="15" customHeight="1" thickTop="1" thickBot="1">
      <c r="A9" s="466"/>
      <c r="B9" s="464"/>
      <c r="C9" s="463"/>
      <c r="D9" s="463"/>
      <c r="E9" s="318"/>
      <c r="F9" s="119"/>
      <c r="G9" s="318"/>
      <c r="H9" s="318"/>
      <c r="I9" s="318"/>
    </row>
    <row r="10" spans="1:9" ht="26" thickTop="1" thickBot="1">
      <c r="A10" s="466">
        <f>A7+1</f>
        <v>41</v>
      </c>
      <c r="B10" s="719" t="str">
        <f>Eigaben!Z57</f>
        <v>FBV Ettenhausen ( 2. Liga S )</v>
      </c>
      <c r="C10" s="463"/>
      <c r="D10" s="463">
        <v>57</v>
      </c>
      <c r="E10" s="318"/>
      <c r="F10" s="119"/>
      <c r="G10" s="318"/>
      <c r="H10" s="318"/>
      <c r="I10" s="318"/>
    </row>
    <row r="11" spans="1:9" ht="15" customHeight="1" thickTop="1" thickBot="1">
      <c r="A11" s="466"/>
      <c r="B11" s="464"/>
      <c r="C11" s="463"/>
      <c r="D11" s="463"/>
      <c r="E11" s="318"/>
      <c r="F11" s="119"/>
      <c r="G11" s="318"/>
      <c r="H11" s="318"/>
      <c r="I11" s="318"/>
    </row>
    <row r="12" spans="1:9" ht="15" customHeight="1" thickTop="1" thickBot="1">
      <c r="A12" s="466"/>
      <c r="B12" s="464"/>
      <c r="C12" s="463"/>
      <c r="D12" s="463"/>
      <c r="E12" s="318"/>
      <c r="F12" s="119"/>
      <c r="G12" s="318"/>
      <c r="H12" s="318"/>
      <c r="I12" s="318"/>
    </row>
    <row r="13" spans="1:9" ht="26" thickTop="1" thickBot="1">
      <c r="A13" s="466">
        <f>A10+1</f>
        <v>42</v>
      </c>
      <c r="B13" s="719" t="str">
        <f>Eigaben!Z58</f>
        <v>STV Felben-W.hausen ( 2. Liga )</v>
      </c>
      <c r="C13" s="463"/>
      <c r="D13" s="463">
        <v>58</v>
      </c>
      <c r="E13" s="318"/>
      <c r="F13" s="119"/>
      <c r="G13" s="318"/>
      <c r="H13" s="318"/>
      <c r="I13" s="318"/>
    </row>
    <row r="14" spans="1:9" ht="15" customHeight="1" thickTop="1" thickBot="1">
      <c r="A14" s="466"/>
      <c r="B14" s="464"/>
      <c r="C14" s="463"/>
      <c r="D14" s="463"/>
      <c r="E14" s="318"/>
      <c r="F14" s="119"/>
      <c r="G14" s="318"/>
      <c r="H14" s="318"/>
      <c r="I14" s="318"/>
    </row>
    <row r="15" spans="1:9" ht="15" customHeight="1" thickTop="1" thickBot="1">
      <c r="A15" s="466"/>
      <c r="B15" s="464"/>
      <c r="C15" s="463"/>
      <c r="D15" s="463"/>
      <c r="E15" s="318"/>
      <c r="F15" s="119"/>
      <c r="G15" s="318"/>
      <c r="H15" s="318"/>
      <c r="I15" s="318"/>
    </row>
    <row r="16" spans="1:9" ht="26" thickTop="1" thickBot="1">
      <c r="A16" s="466">
        <f>A13+1</f>
        <v>43</v>
      </c>
      <c r="B16" s="719" t="str">
        <f>Eigaben!Z59</f>
        <v>STV Müllheim ( 2. L )</v>
      </c>
      <c r="C16" s="463"/>
      <c r="D16" s="463">
        <v>59</v>
      </c>
      <c r="E16" s="318"/>
      <c r="F16" s="119"/>
      <c r="G16" s="318"/>
      <c r="H16" s="318"/>
      <c r="I16" s="318"/>
    </row>
    <row r="17" spans="1:9" ht="15" customHeight="1" thickTop="1" thickBot="1">
      <c r="A17" s="466"/>
      <c r="B17" s="464"/>
      <c r="C17" s="463"/>
      <c r="D17" s="463"/>
      <c r="E17" s="318"/>
      <c r="F17" s="119"/>
      <c r="G17" s="318"/>
      <c r="H17" s="318"/>
      <c r="I17" s="318"/>
    </row>
    <row r="18" spans="1:9" ht="15" customHeight="1" thickTop="1" thickBot="1">
      <c r="A18" s="466"/>
      <c r="B18" s="464"/>
      <c r="C18" s="463"/>
      <c r="D18" s="463"/>
      <c r="E18" s="318"/>
      <c r="F18" s="119"/>
      <c r="G18" s="318"/>
      <c r="H18" s="318"/>
      <c r="I18" s="318"/>
    </row>
    <row r="19" spans="1:9" ht="26" thickTop="1" thickBot="1">
      <c r="A19" s="466">
        <f>A16+1</f>
        <v>44</v>
      </c>
      <c r="B19" s="719" t="str">
        <f>Eigaben!Z60</f>
        <v>STV Oberentfelden   ( 2. Liga )</v>
      </c>
      <c r="C19" s="463"/>
      <c r="D19" s="463">
        <v>60</v>
      </c>
      <c r="E19" s="318"/>
      <c r="F19" s="119"/>
      <c r="G19" s="318"/>
      <c r="H19" s="318"/>
      <c r="I19" s="318"/>
    </row>
    <row r="20" spans="1:9" ht="15" customHeight="1" thickTop="1" thickBot="1">
      <c r="A20" s="466"/>
      <c r="B20" s="464"/>
      <c r="C20" s="463"/>
      <c r="D20" s="463"/>
      <c r="E20" s="318"/>
      <c r="F20" s="119"/>
      <c r="G20" s="318"/>
      <c r="H20" s="318"/>
      <c r="I20" s="318"/>
    </row>
    <row r="21" spans="1:9" ht="15" customHeight="1" thickTop="1" thickBot="1">
      <c r="A21" s="466"/>
      <c r="B21" s="464"/>
      <c r="C21" s="463"/>
      <c r="D21" s="463"/>
      <c r="E21" s="318"/>
      <c r="F21" s="119"/>
      <c r="G21" s="318"/>
      <c r="H21" s="318"/>
      <c r="I21" s="318"/>
    </row>
    <row r="22" spans="1:9" ht="26" thickTop="1" thickBot="1">
      <c r="A22" s="466">
        <f>A19+1</f>
        <v>45</v>
      </c>
      <c r="B22" s="719" t="str">
        <f>Eigaben!Z61</f>
        <v>STV Töss ( 2. Liga )</v>
      </c>
      <c r="C22" s="463"/>
      <c r="D22" s="463">
        <v>61</v>
      </c>
      <c r="E22" s="318"/>
      <c r="F22" s="119"/>
      <c r="G22" s="318"/>
      <c r="H22" s="318"/>
      <c r="I22" s="318"/>
    </row>
    <row r="23" spans="1:9" ht="15" customHeight="1" thickTop="1" thickBot="1">
      <c r="A23" s="466"/>
      <c r="B23" s="464"/>
      <c r="C23" s="463"/>
      <c r="D23" s="463"/>
      <c r="E23" s="318"/>
      <c r="F23" s="119"/>
      <c r="G23" s="318"/>
      <c r="H23" s="318"/>
      <c r="I23" s="318"/>
    </row>
    <row r="24" spans="1:9" ht="15" customHeight="1" thickTop="1" thickBot="1">
      <c r="A24" s="466"/>
      <c r="B24" s="464"/>
      <c r="C24" s="463"/>
      <c r="D24" s="463"/>
      <c r="E24" s="318"/>
      <c r="F24" s="119"/>
      <c r="G24" s="318"/>
      <c r="H24" s="318"/>
      <c r="I24" s="318"/>
    </row>
    <row r="25" spans="1:9" ht="26" thickTop="1" thickBot="1">
      <c r="A25" s="466">
        <f>A22+1</f>
        <v>46</v>
      </c>
      <c r="B25" s="719" t="str">
        <f>Eigaben!Z62</f>
        <v>SUS Widnau   ( 2. Liga F )</v>
      </c>
      <c r="C25" s="463"/>
      <c r="D25" s="463">
        <v>62</v>
      </c>
      <c r="E25" s="318"/>
      <c r="F25" s="119"/>
      <c r="G25" s="318"/>
      <c r="H25" s="318"/>
      <c r="I25" s="318"/>
    </row>
    <row r="26" spans="1:9" ht="15" customHeight="1" thickTop="1" thickBot="1">
      <c r="A26" s="466"/>
      <c r="B26" s="464"/>
      <c r="C26" s="463"/>
      <c r="D26" s="463"/>
      <c r="E26" s="318"/>
      <c r="F26" s="119"/>
      <c r="G26" s="318"/>
      <c r="H26" s="318"/>
      <c r="I26" s="318"/>
    </row>
    <row r="27" spans="1:9" ht="15" customHeight="1" thickTop="1" thickBot="1">
      <c r="A27" s="466"/>
      <c r="B27" s="464"/>
      <c r="C27" s="463"/>
      <c r="D27" s="463"/>
      <c r="E27" s="318"/>
      <c r="F27" s="119"/>
      <c r="G27" s="318"/>
      <c r="H27" s="318"/>
      <c r="I27" s="318"/>
    </row>
    <row r="28" spans="1:9" ht="26" thickTop="1" thickBot="1">
      <c r="A28" s="466">
        <f>A25+1</f>
        <v>47</v>
      </c>
      <c r="B28" s="719" t="str">
        <f>Eigaben!Z63</f>
        <v xml:space="preserve">TV Widnau ( 2. Liga F ) </v>
      </c>
      <c r="C28" s="463"/>
      <c r="D28" s="463">
        <v>63</v>
      </c>
      <c r="E28" s="318"/>
      <c r="F28" s="119"/>
      <c r="G28" s="318"/>
      <c r="H28" s="318"/>
      <c r="I28" s="318"/>
    </row>
    <row r="29" spans="1:9" ht="15" customHeight="1" thickTop="1" thickBot="1">
      <c r="A29" s="466"/>
      <c r="B29" s="464"/>
      <c r="C29" s="463"/>
      <c r="D29" s="463"/>
      <c r="E29" s="318"/>
      <c r="F29" s="119"/>
      <c r="G29" s="318"/>
      <c r="H29" s="318"/>
      <c r="I29" s="318"/>
    </row>
    <row r="30" spans="1:9" ht="15" customHeight="1" thickTop="1" thickBot="1">
      <c r="A30" s="466"/>
      <c r="B30" s="464"/>
      <c r="C30" s="463"/>
      <c r="D30" s="463"/>
      <c r="E30" s="318"/>
      <c r="F30" s="119"/>
      <c r="G30" s="318"/>
      <c r="H30" s="318"/>
      <c r="I30" s="318"/>
    </row>
    <row r="31" spans="1:9" ht="26" thickTop="1" thickBot="1">
      <c r="A31" s="466">
        <f>A28+1</f>
        <v>48</v>
      </c>
      <c r="B31" s="735" t="str">
        <f>Eigaben!Z64</f>
        <v>STV Alpnach  ( 1. Liga ) W</v>
      </c>
      <c r="C31" s="463"/>
      <c r="D31" s="463">
        <v>64</v>
      </c>
      <c r="E31" s="318"/>
      <c r="F31" s="119"/>
      <c r="G31" s="318"/>
      <c r="H31" s="318"/>
      <c r="I31" s="318"/>
    </row>
    <row r="32" spans="1:9" ht="15" customHeight="1" thickTop="1" thickBot="1">
      <c r="A32" s="466"/>
      <c r="B32" s="464"/>
      <c r="C32" s="463"/>
      <c r="D32" s="463"/>
      <c r="E32" s="318"/>
      <c r="F32" s="119"/>
      <c r="G32" s="318"/>
      <c r="H32" s="318"/>
      <c r="I32" s="318"/>
    </row>
    <row r="33" spans="1:9" ht="15" customHeight="1" thickTop="1" thickBot="1">
      <c r="A33" s="466"/>
      <c r="B33" s="464"/>
      <c r="C33" s="463"/>
      <c r="D33" s="463"/>
      <c r="E33" s="318"/>
      <c r="F33" s="119"/>
      <c r="G33" s="318"/>
      <c r="H33" s="318"/>
      <c r="I33" s="318"/>
    </row>
    <row r="34" spans="1:9" ht="26" thickTop="1" thickBot="1">
      <c r="A34" s="466">
        <f>A31+1</f>
        <v>49</v>
      </c>
      <c r="B34" s="735" t="str">
        <f>Eigaben!Z65</f>
        <v>FB Burgdorf (1. Liga  W)</v>
      </c>
      <c r="C34" s="463"/>
      <c r="D34" s="463">
        <v>65</v>
      </c>
      <c r="E34" s="318"/>
      <c r="F34" s="119"/>
      <c r="G34" s="318"/>
      <c r="H34" s="318"/>
      <c r="I34" s="318"/>
    </row>
    <row r="35" spans="1:9" ht="15" customHeight="1" thickTop="1" thickBot="1">
      <c r="A35" s="466"/>
      <c r="B35" s="464"/>
      <c r="C35" s="463"/>
      <c r="D35" s="463"/>
      <c r="E35" s="318"/>
      <c r="F35" s="119"/>
      <c r="G35" s="318"/>
      <c r="H35" s="318"/>
      <c r="I35" s="318"/>
    </row>
    <row r="36" spans="1:9" ht="15" customHeight="1" thickTop="1" thickBot="1">
      <c r="A36" s="466"/>
      <c r="B36" s="464"/>
      <c r="C36" s="463"/>
      <c r="D36" s="463"/>
      <c r="E36" s="318"/>
      <c r="F36" s="119"/>
      <c r="G36" s="318"/>
      <c r="H36" s="318"/>
      <c r="I36" s="318"/>
    </row>
    <row r="37" spans="1:9" ht="26" thickTop="1" thickBot="1">
      <c r="A37" s="466">
        <f>A34+1</f>
        <v>50</v>
      </c>
      <c r="B37" s="735" t="str">
        <f>Eigaben!Z66</f>
        <v xml:space="preserve">TSV Jona 2  ( 1. Liga O )  </v>
      </c>
      <c r="C37" s="463"/>
      <c r="D37" s="463">
        <v>66</v>
      </c>
      <c r="E37" s="318"/>
      <c r="F37" s="119"/>
      <c r="G37" s="318"/>
      <c r="H37" s="318"/>
      <c r="I37" s="318"/>
    </row>
    <row r="38" spans="1:9" ht="15" customHeight="1" thickTop="1" thickBot="1">
      <c r="A38" s="466"/>
      <c r="B38" s="464"/>
      <c r="C38" s="463"/>
      <c r="D38" s="463"/>
      <c r="E38" s="318"/>
      <c r="F38" s="119"/>
      <c r="G38" s="318"/>
      <c r="H38" s="318"/>
      <c r="I38" s="318"/>
    </row>
    <row r="39" spans="1:9" ht="15" customHeight="1" thickTop="1" thickBot="1">
      <c r="A39" s="466"/>
      <c r="B39" s="464"/>
      <c r="C39" s="463"/>
      <c r="D39" s="463"/>
      <c r="E39" s="318"/>
      <c r="F39" s="119"/>
      <c r="G39" s="318"/>
      <c r="H39" s="318"/>
      <c r="I39" s="318"/>
    </row>
    <row r="40" spans="1:9" ht="26" thickTop="1" thickBot="1">
      <c r="A40" s="466">
        <f>A37+1</f>
        <v>51</v>
      </c>
      <c r="B40" s="735" t="str">
        <f>Eigaben!Z67</f>
        <v>STV Spreitenbach 1 ( 1. Liga W )</v>
      </c>
      <c r="C40" s="463"/>
      <c r="D40" s="463">
        <v>67</v>
      </c>
      <c r="E40" s="318"/>
      <c r="F40" s="119"/>
      <c r="G40" s="318"/>
      <c r="H40" s="318"/>
      <c r="I40" s="318"/>
    </row>
    <row r="41" spans="1:9" ht="15" customHeight="1" thickTop="1" thickBot="1">
      <c r="A41" s="466"/>
      <c r="B41" s="464"/>
      <c r="C41" s="463"/>
      <c r="D41" s="463"/>
      <c r="E41" s="318"/>
      <c r="F41" s="119"/>
      <c r="G41" s="318"/>
      <c r="H41" s="318"/>
      <c r="I41" s="318"/>
    </row>
    <row r="42" spans="1:9" ht="15" customHeight="1" thickTop="1" thickBot="1">
      <c r="A42" s="466"/>
      <c r="B42" s="464"/>
      <c r="C42" s="463"/>
      <c r="D42" s="463"/>
      <c r="E42" s="318"/>
      <c r="F42" s="119"/>
      <c r="G42" s="318"/>
      <c r="H42" s="318"/>
      <c r="I42" s="318"/>
    </row>
    <row r="43" spans="1:9" ht="26" thickTop="1" thickBot="1">
      <c r="A43" s="466">
        <f>A40+1</f>
        <v>52</v>
      </c>
      <c r="B43" s="735" t="str">
        <f>Eigaben!Z68</f>
        <v>STV Vordemwald 2  ( 1. Liga W)</v>
      </c>
      <c r="C43" s="463"/>
      <c r="D43" s="463">
        <v>68</v>
      </c>
      <c r="E43" s="318"/>
      <c r="F43" s="119"/>
      <c r="G43" s="318"/>
      <c r="H43" s="318"/>
      <c r="I43" s="318"/>
    </row>
    <row r="44" spans="1:9" ht="15" customHeight="1" thickTop="1" thickBot="1">
      <c r="A44" s="466"/>
      <c r="B44" s="464"/>
      <c r="C44" s="463"/>
      <c r="D44" s="463"/>
      <c r="E44" s="318"/>
      <c r="F44" s="119"/>
      <c r="G44" s="318"/>
      <c r="H44" s="318"/>
      <c r="I44" s="318"/>
    </row>
    <row r="45" spans="1:9" ht="15" customHeight="1" thickTop="1" thickBot="1">
      <c r="A45" s="466"/>
      <c r="B45" s="464"/>
      <c r="C45" s="463"/>
      <c r="D45" s="463"/>
      <c r="E45" s="318"/>
      <c r="F45" s="119"/>
      <c r="G45" s="318"/>
      <c r="H45" s="318"/>
      <c r="I45" s="318"/>
    </row>
    <row r="46" spans="1:9" ht="26" thickTop="1" thickBot="1">
      <c r="A46" s="466">
        <f>A43+1</f>
        <v>53</v>
      </c>
      <c r="B46" s="735" t="str">
        <f>Eigaben!Z69</f>
        <v>STV Dägerlen ( NLB O )</v>
      </c>
      <c r="C46" s="463"/>
      <c r="D46" s="463">
        <v>69</v>
      </c>
      <c r="E46" s="318"/>
      <c r="F46" s="119"/>
      <c r="G46" s="318"/>
      <c r="H46" s="318"/>
      <c r="I46" s="318"/>
    </row>
    <row r="47" spans="1:9" ht="15" customHeight="1" thickTop="1" thickBot="1">
      <c r="A47" s="466"/>
      <c r="B47" s="464"/>
      <c r="C47" s="463"/>
      <c r="D47" s="463"/>
      <c r="E47" s="318"/>
      <c r="F47" s="119"/>
      <c r="G47" s="318"/>
      <c r="H47" s="318"/>
      <c r="I47" s="318"/>
    </row>
    <row r="48" spans="1:9" ht="15" customHeight="1" thickTop="1" thickBot="1">
      <c r="A48" s="466"/>
      <c r="B48" s="464"/>
      <c r="C48" s="463"/>
      <c r="D48" s="463"/>
      <c r="E48" s="318"/>
      <c r="F48" s="119"/>
      <c r="G48" s="318"/>
      <c r="H48" s="318"/>
      <c r="I48" s="318"/>
    </row>
    <row r="49" spans="1:9" ht="26" thickTop="1" thickBot="1">
      <c r="A49" s="466">
        <f>A46+1</f>
        <v>54</v>
      </c>
      <c r="B49" s="735" t="str">
        <f>Eigaben!Z70</f>
        <v>STV Dozwil ( NLB O )</v>
      </c>
      <c r="C49" s="463"/>
      <c r="D49" s="463">
        <v>70</v>
      </c>
      <c r="E49" s="318"/>
      <c r="F49" s="119"/>
      <c r="G49" s="318"/>
      <c r="H49" s="318"/>
      <c r="I49" s="318"/>
    </row>
    <row r="50" spans="1:9" ht="15" customHeight="1" thickTop="1" thickBot="1">
      <c r="A50" s="466"/>
      <c r="B50" s="464"/>
      <c r="C50" s="463"/>
      <c r="D50" s="463"/>
      <c r="E50" s="318"/>
      <c r="F50" s="119"/>
      <c r="G50" s="318"/>
      <c r="H50" s="318"/>
      <c r="I50" s="318"/>
    </row>
    <row r="51" spans="1:9" ht="15" customHeight="1" thickTop="1" thickBot="1">
      <c r="A51" s="466"/>
      <c r="B51" s="464"/>
      <c r="C51" s="463"/>
      <c r="D51" s="463"/>
      <c r="E51" s="318"/>
      <c r="F51" s="119"/>
      <c r="G51" s="318"/>
      <c r="H51" s="318"/>
      <c r="I51" s="318"/>
    </row>
    <row r="52" spans="1:9" ht="26" thickTop="1" thickBot="1">
      <c r="A52" s="466">
        <f>A49+1</f>
        <v>55</v>
      </c>
      <c r="B52" s="735" t="str">
        <f>Eigaben!Z71</f>
        <v>FG Elgg-Ettenhausen 2 ( NLB O )</v>
      </c>
      <c r="C52" s="463"/>
      <c r="D52" s="463">
        <v>71</v>
      </c>
      <c r="E52" s="318"/>
      <c r="F52" s="119"/>
      <c r="G52" s="318"/>
      <c r="H52" s="318"/>
      <c r="I52" s="318"/>
    </row>
    <row r="53" spans="1:9" ht="15" customHeight="1" thickTop="1" thickBot="1">
      <c r="A53" s="466"/>
      <c r="B53" s="464"/>
      <c r="C53" s="463"/>
      <c r="D53" s="463"/>
      <c r="E53" s="318"/>
      <c r="F53" s="119"/>
      <c r="G53" s="318"/>
      <c r="H53" s="318"/>
      <c r="I53" s="318"/>
    </row>
    <row r="54" spans="1:9" ht="15" customHeight="1" thickTop="1" thickBot="1">
      <c r="A54" s="466"/>
      <c r="B54" s="464"/>
      <c r="C54" s="463"/>
      <c r="D54" s="463"/>
      <c r="E54" s="318"/>
      <c r="F54" s="119"/>
      <c r="G54" s="318"/>
      <c r="H54" s="318"/>
      <c r="I54" s="318"/>
    </row>
    <row r="55" spans="1:9" ht="26" thickTop="1" thickBot="1">
      <c r="A55" s="466">
        <f>A52+1</f>
        <v>56</v>
      </c>
      <c r="B55" s="735" t="str">
        <f>Eigaben!Z72</f>
        <v>TSV Jona 1( NLB O )</v>
      </c>
      <c r="C55" s="463"/>
      <c r="D55" s="463">
        <v>72</v>
      </c>
      <c r="E55" s="318"/>
      <c r="F55" s="119"/>
      <c r="G55" s="318"/>
      <c r="H55" s="318"/>
      <c r="I55" s="318"/>
    </row>
    <row r="56" spans="1:9" ht="15" customHeight="1" thickTop="1" thickBot="1">
      <c r="A56" s="466"/>
      <c r="B56" s="464"/>
      <c r="C56" s="463"/>
      <c r="D56" s="463"/>
      <c r="E56" s="318"/>
      <c r="F56" s="119"/>
      <c r="G56" s="318"/>
      <c r="H56" s="318"/>
      <c r="I56" s="318"/>
    </row>
    <row r="57" spans="1:9" ht="15" customHeight="1" thickTop="1" thickBot="1">
      <c r="A57" s="466"/>
      <c r="B57" s="464"/>
      <c r="C57" s="463"/>
      <c r="D57" s="463"/>
      <c r="E57" s="318"/>
      <c r="F57" s="119"/>
      <c r="G57" s="318"/>
      <c r="H57" s="318"/>
      <c r="I57" s="318"/>
    </row>
    <row r="58" spans="1:9" ht="26" thickTop="1" thickBot="1">
      <c r="A58" s="466">
        <f>A55+1</f>
        <v>57</v>
      </c>
      <c r="B58" s="736" t="str">
        <f>Eigaben!Z73</f>
        <v>STV Kirchberg  ( NLB W )</v>
      </c>
      <c r="C58" s="463"/>
      <c r="D58" s="463">
        <v>73</v>
      </c>
      <c r="E58" s="318"/>
      <c r="F58" s="119"/>
      <c r="G58" s="318"/>
      <c r="H58" s="318"/>
      <c r="I58" s="318"/>
    </row>
    <row r="59" spans="1:9" ht="15" customHeight="1" thickTop="1" thickBot="1">
      <c r="A59" s="466"/>
      <c r="B59" s="464"/>
      <c r="C59" s="463"/>
      <c r="D59" s="463"/>
      <c r="E59" s="318"/>
      <c r="F59" s="119"/>
      <c r="G59" s="318"/>
      <c r="H59" s="318"/>
      <c r="I59" s="318"/>
    </row>
    <row r="60" spans="1:9" ht="15" customHeight="1" thickTop="1" thickBot="1">
      <c r="A60" s="466"/>
      <c r="B60" s="464"/>
      <c r="C60" s="463"/>
      <c r="D60" s="463"/>
      <c r="E60" s="318"/>
      <c r="F60" s="119"/>
      <c r="G60" s="318"/>
      <c r="H60" s="318"/>
      <c r="I60" s="318"/>
    </row>
    <row r="61" spans="1:9" ht="26" thickTop="1" thickBot="1">
      <c r="A61" s="466">
        <f>A58+1</f>
        <v>58</v>
      </c>
      <c r="B61" s="736" t="str">
        <f>Eigaben!Z74</f>
        <v>TV Oberwinterthur  (NLB )</v>
      </c>
      <c r="C61" s="463"/>
      <c r="D61" s="463">
        <v>74</v>
      </c>
      <c r="E61" s="318"/>
      <c r="F61" s="119"/>
      <c r="G61" s="318"/>
      <c r="H61" s="318"/>
      <c r="I61" s="318"/>
    </row>
    <row r="62" spans="1:9" ht="15" customHeight="1" thickTop="1" thickBot="1">
      <c r="A62" s="466"/>
      <c r="B62" s="464"/>
      <c r="C62" s="463"/>
      <c r="D62" s="463"/>
      <c r="E62" s="318"/>
      <c r="F62" s="119"/>
      <c r="G62" s="318"/>
      <c r="H62" s="318"/>
      <c r="I62" s="318"/>
    </row>
    <row r="63" spans="1:9" ht="15" customHeight="1" thickTop="1" thickBot="1">
      <c r="A63" s="466"/>
      <c r="B63" s="464"/>
      <c r="C63" s="463"/>
      <c r="D63" s="463"/>
      <c r="E63" s="318"/>
      <c r="F63" s="119"/>
      <c r="G63" s="318"/>
      <c r="H63" s="318"/>
      <c r="I63" s="318"/>
    </row>
    <row r="64" spans="1:9" ht="26" thickTop="1" thickBot="1">
      <c r="A64" s="466">
        <v>59</v>
      </c>
      <c r="B64" s="736" t="str">
        <f>Eigaben!Z75</f>
        <v>STV Rickenbach-Wilen 2 ( NLB )</v>
      </c>
      <c r="C64" s="463"/>
      <c r="D64" s="463">
        <v>75</v>
      </c>
      <c r="E64" s="318"/>
      <c r="F64" s="119"/>
      <c r="G64" s="318"/>
      <c r="H64" s="318"/>
      <c r="I64" s="318"/>
    </row>
    <row r="65" spans="1:9" ht="15" customHeight="1" thickTop="1" thickBot="1">
      <c r="A65" s="466"/>
      <c r="B65" s="464"/>
      <c r="C65" s="463"/>
      <c r="D65" s="463"/>
      <c r="E65" s="318"/>
      <c r="F65" s="119"/>
      <c r="G65" s="318"/>
      <c r="H65" s="318"/>
      <c r="I65" s="318"/>
    </row>
    <row r="66" spans="1:9" ht="15" customHeight="1" thickTop="1" thickBot="1">
      <c r="A66" s="466"/>
      <c r="B66" s="464"/>
      <c r="C66" s="463"/>
      <c r="D66" s="463"/>
      <c r="E66" s="318"/>
      <c r="F66" s="119"/>
      <c r="G66" s="318"/>
      <c r="H66" s="318"/>
      <c r="I66" s="318"/>
    </row>
    <row r="67" spans="1:9" ht="26" thickTop="1" thickBot="1">
      <c r="A67" s="466">
        <v>60</v>
      </c>
      <c r="B67" s="736" t="str">
        <f>Eigaben!Z76</f>
        <v>STV Schlieren ( NLB O )</v>
      </c>
      <c r="C67" s="463"/>
      <c r="D67" s="463">
        <v>76</v>
      </c>
      <c r="E67" s="318"/>
      <c r="F67" s="119"/>
      <c r="G67" s="318"/>
      <c r="H67" s="318"/>
      <c r="I67" s="318"/>
    </row>
    <row r="68" spans="1:9" ht="15" customHeight="1" thickTop="1" thickBot="1">
      <c r="A68" s="466"/>
      <c r="B68" s="464"/>
      <c r="C68" s="463"/>
      <c r="D68" s="463"/>
      <c r="E68" s="318"/>
      <c r="F68" s="119"/>
      <c r="G68" s="318"/>
      <c r="H68" s="318"/>
      <c r="I68" s="318"/>
    </row>
    <row r="69" spans="1:9" ht="15" customHeight="1" thickTop="1" thickBot="1">
      <c r="A69" s="466"/>
      <c r="B69" s="464"/>
      <c r="C69" s="463"/>
      <c r="D69" s="463"/>
      <c r="E69" s="318"/>
      <c r="F69" s="119"/>
      <c r="G69" s="318"/>
      <c r="H69" s="318"/>
      <c r="I69" s="318"/>
    </row>
    <row r="70" spans="1:9" ht="26" thickTop="1" thickBot="1">
      <c r="A70" s="466">
        <v>61</v>
      </c>
      <c r="B70" s="736" t="str">
        <f>Eigaben!Z77</f>
        <v>STV Schlossrued ( NLB W )</v>
      </c>
      <c r="C70" s="463"/>
      <c r="D70" s="463">
        <v>77</v>
      </c>
      <c r="E70" s="318"/>
      <c r="F70" s="119"/>
      <c r="G70" s="318"/>
      <c r="H70" s="318"/>
      <c r="I70" s="318"/>
    </row>
    <row r="71" spans="1:9" ht="15" customHeight="1" thickTop="1" thickBot="1">
      <c r="A71" s="466"/>
      <c r="B71" s="464"/>
      <c r="C71" s="463"/>
      <c r="D71" s="463"/>
      <c r="E71" s="318"/>
      <c r="F71" s="119"/>
      <c r="G71" s="318"/>
      <c r="H71" s="318"/>
      <c r="I71" s="318"/>
    </row>
    <row r="72" spans="1:9" ht="15" customHeight="1" thickTop="1" thickBot="1">
      <c r="A72" s="466"/>
      <c r="B72" s="464"/>
      <c r="C72" s="463"/>
      <c r="D72" s="463"/>
      <c r="E72" s="318"/>
      <c r="F72" s="119"/>
      <c r="G72" s="318"/>
      <c r="H72" s="318"/>
      <c r="I72" s="318"/>
    </row>
    <row r="73" spans="1:9" ht="26" thickTop="1" thickBot="1">
      <c r="A73" s="466">
        <v>62</v>
      </c>
      <c r="B73" s="736" t="str">
        <f>Eigaben!Z78</f>
        <v>FB Schwellbrunn ( NLB  O)</v>
      </c>
      <c r="C73" s="463"/>
      <c r="D73" s="463">
        <v>78</v>
      </c>
      <c r="E73" s="318"/>
      <c r="F73" s="119"/>
      <c r="G73" s="318"/>
      <c r="H73" s="318"/>
      <c r="I73" s="318"/>
    </row>
    <row r="74" spans="1:9" ht="15" customHeight="1" thickTop="1" thickBot="1">
      <c r="A74" s="466"/>
      <c r="B74" s="464"/>
      <c r="C74" s="463"/>
      <c r="D74" s="463"/>
      <c r="E74" s="318"/>
      <c r="F74" s="119"/>
      <c r="G74" s="318"/>
      <c r="H74" s="318"/>
      <c r="I74" s="318"/>
    </row>
    <row r="75" spans="1:9" ht="15" customHeight="1" thickTop="1" thickBot="1">
      <c r="A75" s="466"/>
      <c r="B75" s="464"/>
      <c r="C75" s="463"/>
      <c r="D75" s="463"/>
      <c r="E75" s="318"/>
      <c r="F75" s="119"/>
      <c r="G75" s="318"/>
      <c r="H75" s="318"/>
      <c r="I75" s="318"/>
    </row>
    <row r="76" spans="1:9" ht="26" thickTop="1" thickBot="1">
      <c r="A76" s="466">
        <v>63</v>
      </c>
      <c r="B76" s="736" t="str">
        <f>Eigaben!Z79</f>
        <v>STV Vordemwald 1 ( NLB W )</v>
      </c>
      <c r="C76" s="463"/>
      <c r="D76" s="463">
        <v>79</v>
      </c>
      <c r="E76" s="318"/>
      <c r="F76" s="119"/>
      <c r="G76" s="318"/>
      <c r="H76" s="318"/>
      <c r="I76" s="318"/>
    </row>
    <row r="77" spans="1:9" ht="15" customHeight="1" thickTop="1" thickBot="1">
      <c r="A77" s="466"/>
      <c r="B77" s="464"/>
      <c r="C77" s="463"/>
      <c r="D77" s="463"/>
      <c r="E77" s="318"/>
      <c r="F77" s="119"/>
      <c r="G77" s="318"/>
      <c r="H77" s="318"/>
      <c r="I77" s="318"/>
    </row>
    <row r="78" spans="1:9" ht="15" customHeight="1" thickTop="1" thickBot="1">
      <c r="A78" s="466"/>
      <c r="B78" s="464"/>
      <c r="C78" s="463"/>
      <c r="D78" s="463"/>
      <c r="E78" s="318"/>
      <c r="F78" s="119"/>
      <c r="G78" s="318"/>
      <c r="H78" s="318"/>
      <c r="I78" s="318"/>
    </row>
    <row r="79" spans="1:9" ht="26" thickTop="1" thickBot="1">
      <c r="A79" s="466">
        <v>64</v>
      </c>
      <c r="B79" s="736" t="str">
        <f>Eigaben!Z80</f>
        <v>STV Affeltrangen  ( NLA )</v>
      </c>
      <c r="C79" s="463"/>
      <c r="D79" s="463">
        <v>80</v>
      </c>
      <c r="E79" s="318"/>
      <c r="F79" s="119"/>
      <c r="G79" s="318"/>
      <c r="H79" s="318"/>
      <c r="I79" s="318"/>
    </row>
    <row r="80" spans="1:9" ht="15" customHeight="1" thickTop="1" thickBot="1">
      <c r="A80" s="466"/>
      <c r="B80" s="464"/>
      <c r="C80" s="463"/>
      <c r="D80" s="463"/>
      <c r="E80" s="318"/>
      <c r="F80" s="119"/>
      <c r="G80" s="318"/>
      <c r="H80" s="318"/>
      <c r="I80" s="318"/>
    </row>
    <row r="81" spans="1:9" ht="15" customHeight="1" thickTop="1" thickBot="1">
      <c r="A81" s="466"/>
      <c r="B81" s="464"/>
      <c r="C81" s="463"/>
      <c r="D81" s="463"/>
      <c r="E81" s="318"/>
      <c r="F81" s="119"/>
      <c r="G81" s="318"/>
      <c r="H81" s="318"/>
      <c r="I81" s="318"/>
    </row>
    <row r="82" spans="1:9" ht="26" thickTop="1" thickBot="1">
      <c r="A82" s="466">
        <v>65</v>
      </c>
      <c r="B82" s="736" t="str">
        <f>Eigaben!Z81</f>
        <v>SVD Diepoldsau-Schmitter (NLA)</v>
      </c>
      <c r="C82" s="463"/>
      <c r="D82" s="463">
        <v>81</v>
      </c>
      <c r="E82" s="318"/>
      <c r="F82" s="119"/>
      <c r="G82" s="318"/>
      <c r="H82" s="318"/>
      <c r="I82" s="318"/>
    </row>
    <row r="83" spans="1:9" ht="15" customHeight="1" thickTop="1" thickBot="1">
      <c r="A83" s="466"/>
      <c r="B83" s="464"/>
      <c r="C83" s="463"/>
      <c r="D83" s="463"/>
      <c r="E83" s="318"/>
      <c r="F83" s="119"/>
      <c r="G83" s="318"/>
      <c r="H83" s="318"/>
      <c r="I83" s="318"/>
    </row>
    <row r="84" spans="1:9" ht="15" customHeight="1" thickTop="1" thickBot="1">
      <c r="A84" s="466"/>
      <c r="B84" s="464"/>
      <c r="C84" s="463"/>
      <c r="D84" s="463"/>
      <c r="E84" s="318"/>
      <c r="F84" s="119"/>
      <c r="G84" s="318"/>
      <c r="H84" s="318"/>
      <c r="I84" s="318"/>
    </row>
    <row r="85" spans="1:9" ht="26" thickTop="1" thickBot="1">
      <c r="A85" s="466">
        <v>66</v>
      </c>
      <c r="B85" s="736" t="str">
        <f>Eigaben!Z82</f>
        <v>FG Elgg-Ettenhausen 1 ( NLA )</v>
      </c>
      <c r="C85" s="463"/>
      <c r="D85" s="463">
        <v>82</v>
      </c>
      <c r="E85" s="318"/>
      <c r="F85" s="119"/>
      <c r="G85" s="318"/>
      <c r="H85" s="318"/>
      <c r="I85" s="318"/>
    </row>
    <row r="86" spans="1:9" ht="15" customHeight="1" thickTop="1" thickBot="1">
      <c r="A86" s="466"/>
      <c r="B86" s="464"/>
      <c r="C86" s="463"/>
      <c r="D86" s="463"/>
      <c r="E86" s="318"/>
      <c r="F86" s="119"/>
      <c r="G86" s="318"/>
      <c r="H86" s="318"/>
      <c r="I86" s="318"/>
    </row>
    <row r="87" spans="1:9" ht="15" customHeight="1" thickTop="1" thickBot="1">
      <c r="A87" s="466"/>
      <c r="B87" s="464"/>
      <c r="C87" s="463"/>
      <c r="D87" s="463"/>
      <c r="E87" s="318"/>
      <c r="F87" s="119"/>
      <c r="G87" s="318"/>
      <c r="H87" s="318"/>
      <c r="I87" s="318"/>
    </row>
    <row r="88" spans="1:9" ht="26" thickTop="1" thickBot="1">
      <c r="A88" s="737">
        <v>67</v>
      </c>
      <c r="B88" s="738" t="str">
        <f>Eigaben!Z83</f>
        <v>FG Fricktal ( NLA  )</v>
      </c>
      <c r="C88" s="463"/>
      <c r="D88" s="463">
        <v>83</v>
      </c>
      <c r="E88" s="318"/>
      <c r="F88" s="119"/>
      <c r="G88" s="318"/>
      <c r="H88" s="318"/>
      <c r="I88" s="318"/>
    </row>
    <row r="89" spans="1:9" ht="15" customHeight="1" thickTop="1" thickBot="1">
      <c r="A89" s="466"/>
      <c r="B89" s="464"/>
      <c r="C89" s="463"/>
      <c r="D89" s="463"/>
      <c r="E89" s="318"/>
      <c r="F89" s="119"/>
      <c r="G89" s="318"/>
      <c r="H89" s="318"/>
      <c r="I89" s="318"/>
    </row>
    <row r="90" spans="1:9" ht="15" customHeight="1" thickTop="1" thickBot="1">
      <c r="A90" s="466"/>
      <c r="B90" s="464"/>
      <c r="C90" s="463"/>
      <c r="D90" s="463"/>
      <c r="E90" s="318"/>
      <c r="F90" s="119"/>
      <c r="G90" s="318"/>
      <c r="H90" s="318"/>
      <c r="I90" s="318"/>
    </row>
    <row r="91" spans="1:9" ht="26" thickTop="1" thickBot="1">
      <c r="A91" s="466">
        <v>68</v>
      </c>
      <c r="B91" s="738" t="str">
        <f>Eigaben!Z84</f>
        <v>STV Oberentfelden   ( NLA )</v>
      </c>
      <c r="C91" s="463"/>
      <c r="D91" s="463">
        <v>84</v>
      </c>
      <c r="E91" s="318"/>
      <c r="F91" s="119"/>
      <c r="G91" s="318"/>
      <c r="H91" s="318"/>
      <c r="I91" s="318"/>
    </row>
    <row r="92" spans="1:9" ht="15" customHeight="1" thickTop="1" thickBot="1">
      <c r="A92" s="466"/>
      <c r="B92" s="464"/>
      <c r="C92" s="463"/>
      <c r="D92" s="463"/>
      <c r="E92" s="318"/>
      <c r="F92" s="119"/>
      <c r="G92" s="318"/>
      <c r="H92" s="318"/>
      <c r="I92" s="318"/>
    </row>
    <row r="93" spans="1:9" ht="15" customHeight="1" thickTop="1" thickBot="1">
      <c r="A93" s="466"/>
      <c r="B93" s="464"/>
      <c r="C93" s="463"/>
      <c r="D93" s="463"/>
      <c r="E93" s="318"/>
      <c r="F93" s="119"/>
      <c r="G93" s="318"/>
      <c r="H93" s="318"/>
      <c r="I93" s="318"/>
    </row>
    <row r="94" spans="1:9" ht="26" thickTop="1" thickBot="1">
      <c r="A94" s="466">
        <v>69</v>
      </c>
      <c r="B94" s="738" t="str">
        <f>Eigaben!Z85</f>
        <v>FG Rickenbach-Wilen ( NLA )</v>
      </c>
      <c r="C94" s="463"/>
      <c r="D94" s="463">
        <v>85</v>
      </c>
      <c r="E94" s="318"/>
      <c r="F94" s="119"/>
      <c r="G94" s="318"/>
      <c r="H94" s="318"/>
      <c r="I94" s="318"/>
    </row>
    <row r="95" spans="1:9" ht="15" customHeight="1" thickTop="1" thickBot="1">
      <c r="A95" s="466"/>
      <c r="B95" s="464"/>
      <c r="C95" s="463"/>
      <c r="D95" s="463"/>
      <c r="E95" s="318"/>
      <c r="F95" s="119"/>
      <c r="G95" s="318"/>
      <c r="H95" s="318"/>
      <c r="I95" s="318"/>
    </row>
    <row r="96" spans="1:9" ht="15" customHeight="1" thickTop="1" thickBot="1">
      <c r="A96" s="466"/>
      <c r="B96" s="464"/>
      <c r="C96" s="463"/>
      <c r="D96" s="463"/>
      <c r="E96" s="318"/>
      <c r="F96" s="119"/>
      <c r="G96" s="318"/>
      <c r="H96" s="318"/>
      <c r="I96" s="318"/>
    </row>
    <row r="97" spans="1:9" ht="26" thickTop="1" thickBot="1">
      <c r="A97" s="737">
        <v>70</v>
      </c>
      <c r="B97" s="738" t="str">
        <f>Eigaben!Z86</f>
        <v>SUS Widnau   ( NLA )</v>
      </c>
      <c r="C97" s="463"/>
      <c r="D97" s="463">
        <v>86</v>
      </c>
      <c r="E97" s="318"/>
      <c r="F97" s="119"/>
      <c r="G97" s="318"/>
      <c r="H97" s="318"/>
      <c r="I97" s="318"/>
    </row>
    <row r="98" spans="1:9" ht="15" customHeight="1" thickTop="1" thickBot="1">
      <c r="A98" s="466"/>
      <c r="B98" s="464"/>
      <c r="C98" s="463"/>
      <c r="D98" s="463"/>
      <c r="E98" s="318"/>
      <c r="F98" s="119"/>
      <c r="G98" s="318"/>
      <c r="H98" s="318"/>
      <c r="I98" s="318"/>
    </row>
    <row r="99" spans="1:9" ht="15" customHeight="1" thickTop="1" thickBot="1">
      <c r="A99" s="466"/>
      <c r="B99" s="464"/>
      <c r="C99" s="463"/>
      <c r="D99" s="463"/>
      <c r="E99" s="318"/>
      <c r="F99" s="119"/>
      <c r="G99" s="318"/>
      <c r="H99" s="318"/>
      <c r="I99" s="318"/>
    </row>
    <row r="100" spans="1:9" ht="26" thickTop="1" thickBot="1">
      <c r="A100" s="466">
        <v>71</v>
      </c>
      <c r="B100" s="738"/>
      <c r="C100" s="463"/>
      <c r="D100" s="463">
        <v>87</v>
      </c>
      <c r="E100" s="318"/>
      <c r="F100" s="119"/>
      <c r="G100" s="318"/>
      <c r="H100" s="318"/>
      <c r="I100" s="318"/>
    </row>
    <row r="101" spans="1:9" ht="15" customHeight="1" thickTop="1" thickBot="1">
      <c r="A101" s="466"/>
      <c r="B101" s="464"/>
      <c r="C101" s="463"/>
      <c r="D101" s="463"/>
      <c r="E101" s="318"/>
      <c r="F101" s="119"/>
      <c r="G101" s="318"/>
      <c r="H101" s="318"/>
      <c r="I101" s="318"/>
    </row>
    <row r="102" spans="1:9" ht="15" customHeight="1" thickTop="1" thickBot="1">
      <c r="A102" s="466"/>
      <c r="B102" s="464"/>
      <c r="C102" s="463"/>
      <c r="D102" s="463"/>
      <c r="E102" s="318"/>
      <c r="F102" s="119"/>
      <c r="G102" s="318"/>
      <c r="H102" s="318"/>
      <c r="I102" s="318"/>
    </row>
    <row r="103" spans="1:9" ht="26" thickTop="1" thickBot="1">
      <c r="A103" s="466">
        <v>72</v>
      </c>
      <c r="B103" s="738"/>
      <c r="C103" s="463"/>
      <c r="D103" s="463">
        <v>88</v>
      </c>
      <c r="E103" s="318"/>
      <c r="F103" s="119"/>
      <c r="G103" s="318"/>
      <c r="H103" s="318"/>
      <c r="I103" s="318"/>
    </row>
    <row r="104" spans="1:9" ht="15" customHeight="1" thickTop="1" thickBot="1">
      <c r="A104" s="466"/>
      <c r="B104" s="464"/>
      <c r="C104" s="463"/>
      <c r="D104" s="463"/>
      <c r="E104" s="318"/>
      <c r="F104" s="119"/>
      <c r="G104" s="318"/>
      <c r="H104" s="318"/>
      <c r="I104" s="318"/>
    </row>
    <row r="105" spans="1:9" ht="15" customHeight="1" thickTop="1" thickBot="1">
      <c r="A105" s="466"/>
      <c r="B105" s="464"/>
      <c r="C105" s="463"/>
      <c r="D105" s="463"/>
      <c r="E105" s="318"/>
      <c r="F105" s="119"/>
      <c r="G105" s="318"/>
      <c r="H105" s="318"/>
      <c r="I105" s="318"/>
    </row>
    <row r="106" spans="1:9" ht="26" thickTop="1" thickBot="1">
      <c r="A106" s="466">
        <v>73</v>
      </c>
      <c r="B106" s="738"/>
      <c r="C106" s="463"/>
      <c r="D106" s="463">
        <v>89</v>
      </c>
      <c r="E106" s="318"/>
      <c r="F106" s="119"/>
      <c r="G106" s="318"/>
      <c r="H106" s="318"/>
      <c r="I106" s="318"/>
    </row>
    <row r="107" spans="1:9" ht="15" customHeight="1" thickTop="1" thickBot="1">
      <c r="A107" s="466"/>
      <c r="B107" s="464"/>
      <c r="C107" s="463"/>
      <c r="D107" s="463"/>
      <c r="E107" s="318"/>
      <c r="F107" s="119"/>
      <c r="G107" s="318"/>
      <c r="H107" s="318"/>
      <c r="I107" s="318"/>
    </row>
    <row r="108" spans="1:9" ht="15" customHeight="1" thickTop="1" thickBot="1">
      <c r="A108" s="466"/>
      <c r="B108" s="464"/>
      <c r="C108" s="463"/>
      <c r="D108" s="463"/>
      <c r="E108" s="318"/>
      <c r="F108" s="119"/>
      <c r="G108" s="318"/>
      <c r="H108" s="318"/>
      <c r="I108" s="318"/>
    </row>
    <row r="109" spans="1:9" ht="26" thickTop="1" thickBot="1">
      <c r="A109" s="737">
        <v>74</v>
      </c>
      <c r="B109" s="738"/>
      <c r="C109" s="463"/>
      <c r="D109" s="463">
        <v>90</v>
      </c>
      <c r="E109" s="318"/>
      <c r="F109" s="119"/>
      <c r="G109" s="318"/>
      <c r="H109" s="318"/>
      <c r="I109" s="318"/>
    </row>
    <row r="110" spans="1:9" ht="15" customHeight="1" thickTop="1" thickBot="1">
      <c r="A110" s="466"/>
      <c r="B110" s="464"/>
      <c r="C110" s="463"/>
      <c r="D110" s="463"/>
      <c r="E110" s="318"/>
      <c r="F110" s="119"/>
      <c r="G110" s="318"/>
      <c r="H110" s="318"/>
      <c r="I110" s="318"/>
    </row>
    <row r="111" spans="1:9" ht="15" customHeight="1" thickTop="1" thickBot="1">
      <c r="A111" s="466"/>
      <c r="B111" s="464"/>
      <c r="C111" s="463"/>
      <c r="D111" s="463"/>
      <c r="E111" s="318"/>
      <c r="F111" s="119"/>
      <c r="G111" s="318"/>
      <c r="H111" s="318"/>
      <c r="I111" s="318"/>
    </row>
    <row r="112" spans="1:9" ht="26" thickTop="1" thickBot="1">
      <c r="A112" s="737">
        <v>75</v>
      </c>
      <c r="B112" s="738"/>
      <c r="C112" s="463"/>
      <c r="D112" s="463"/>
      <c r="E112" s="318"/>
      <c r="F112" s="119"/>
      <c r="G112" s="318"/>
      <c r="H112" s="318"/>
      <c r="I112" s="318"/>
    </row>
    <row r="113" spans="1:9" ht="15" customHeight="1" thickTop="1" thickBot="1">
      <c r="A113" s="466"/>
      <c r="B113" s="464"/>
      <c r="C113" s="463"/>
      <c r="D113" s="463"/>
      <c r="E113" s="318"/>
      <c r="F113" s="119"/>
      <c r="G113" s="318"/>
      <c r="H113" s="318"/>
      <c r="I113" s="318"/>
    </row>
    <row r="114" spans="1:9" ht="15" customHeight="1" thickTop="1" thickBot="1">
      <c r="A114" s="466"/>
      <c r="B114" s="464"/>
      <c r="C114" s="463"/>
      <c r="D114" s="463"/>
      <c r="E114" s="318"/>
      <c r="F114" s="119"/>
      <c r="G114" s="318"/>
      <c r="H114" s="318"/>
      <c r="I114" s="318"/>
    </row>
    <row r="115" spans="1:9" ht="25.5" thickTop="1">
      <c r="A115" s="119"/>
      <c r="B115" s="318"/>
      <c r="C115" s="318"/>
      <c r="D115" s="318"/>
      <c r="E115" s="318"/>
      <c r="F115" s="119"/>
      <c r="G115" s="318"/>
      <c r="H115" s="318"/>
      <c r="I115" s="318"/>
    </row>
    <row r="116" spans="1:9" ht="25">
      <c r="A116" s="119"/>
      <c r="B116" s="318"/>
      <c r="C116" s="318"/>
      <c r="D116" s="318"/>
      <c r="E116" s="318"/>
      <c r="F116" s="119"/>
      <c r="G116" s="318"/>
      <c r="H116" s="318"/>
      <c r="I116" s="318"/>
    </row>
    <row r="117" spans="1:9" ht="25">
      <c r="A117" s="119"/>
      <c r="B117" s="318"/>
      <c r="C117" s="318"/>
      <c r="D117" s="318"/>
      <c r="E117" s="318"/>
      <c r="F117" s="119"/>
      <c r="G117" s="318"/>
      <c r="H117" s="318"/>
      <c r="I117" s="318"/>
    </row>
    <row r="118" spans="1:9" ht="25">
      <c r="A118" s="119"/>
      <c r="B118" s="318"/>
      <c r="C118" s="318"/>
      <c r="D118" s="318"/>
      <c r="E118" s="318"/>
      <c r="F118" s="119"/>
      <c r="G118" s="318"/>
      <c r="H118" s="318"/>
      <c r="I118" s="318"/>
    </row>
    <row r="119" spans="1:9" ht="25">
      <c r="A119" s="119"/>
      <c r="B119" s="318" t="s">
        <v>260</v>
      </c>
      <c r="C119" s="318"/>
      <c r="D119" s="318"/>
      <c r="E119" s="318"/>
      <c r="F119" s="119"/>
      <c r="G119" s="318"/>
      <c r="H119" s="318"/>
      <c r="I119" s="318"/>
    </row>
    <row r="120" spans="1:9" ht="25">
      <c r="A120" s="119"/>
      <c r="B120" s="318"/>
      <c r="C120" s="318"/>
      <c r="D120" s="318"/>
      <c r="E120" s="318"/>
      <c r="F120" s="119"/>
      <c r="G120" s="318"/>
      <c r="H120" s="318"/>
      <c r="I120" s="318"/>
    </row>
    <row r="121" spans="1:9" ht="25">
      <c r="A121" s="119"/>
      <c r="B121" s="318"/>
      <c r="C121" s="318"/>
      <c r="D121" s="318"/>
      <c r="E121" s="318"/>
      <c r="F121" s="119"/>
      <c r="G121" s="318"/>
      <c r="H121" s="318"/>
      <c r="I121" s="318"/>
    </row>
    <row r="122" spans="1:9" ht="25">
      <c r="A122" s="119"/>
      <c r="B122" s="318"/>
      <c r="C122" s="318"/>
      <c r="D122" s="318"/>
      <c r="E122" s="318"/>
      <c r="F122" s="119"/>
      <c r="G122" s="318"/>
      <c r="H122" s="318"/>
      <c r="I122" s="318"/>
    </row>
    <row r="123" spans="1:9" ht="25">
      <c r="A123" s="119"/>
      <c r="B123" s="318"/>
      <c r="C123" s="318"/>
      <c r="D123" s="318"/>
      <c r="E123" s="318"/>
      <c r="F123" s="119"/>
      <c r="G123" s="318"/>
      <c r="H123" s="318"/>
      <c r="I123" s="318"/>
    </row>
    <row r="124" spans="1:9" ht="25">
      <c r="A124" s="119"/>
      <c r="B124" s="318"/>
      <c r="C124" s="318"/>
      <c r="D124" s="318"/>
      <c r="E124" s="318"/>
      <c r="F124" s="119"/>
      <c r="G124" s="318"/>
      <c r="H124" s="318"/>
      <c r="I124" s="318"/>
    </row>
    <row r="125" spans="1:9" ht="25">
      <c r="A125" s="119"/>
      <c r="B125" s="318"/>
      <c r="C125" s="318"/>
      <c r="D125" s="318"/>
      <c r="E125" s="318"/>
      <c r="F125" s="119"/>
      <c r="G125" s="318"/>
      <c r="H125" s="318"/>
      <c r="I125" s="318"/>
    </row>
    <row r="126" spans="1:9" ht="25">
      <c r="A126" s="119"/>
      <c r="B126" s="318"/>
      <c r="C126" s="318"/>
      <c r="D126" s="318"/>
      <c r="E126" s="318"/>
      <c r="F126" s="119"/>
      <c r="G126" s="318"/>
      <c r="H126" s="318"/>
      <c r="I126" s="318"/>
    </row>
    <row r="127" spans="1:9" ht="25">
      <c r="A127" s="119"/>
      <c r="B127" s="318"/>
      <c r="C127" s="318"/>
      <c r="D127" s="318"/>
      <c r="E127" s="318"/>
      <c r="F127" s="119"/>
      <c r="G127" s="318"/>
      <c r="H127" s="318"/>
      <c r="I127" s="318"/>
    </row>
    <row r="128" spans="1:9" ht="25">
      <c r="A128" s="119"/>
      <c r="B128" s="318"/>
      <c r="C128" s="318"/>
      <c r="D128" s="318"/>
      <c r="E128" s="318"/>
      <c r="F128" s="119"/>
      <c r="G128" s="318"/>
      <c r="H128" s="318"/>
      <c r="I128" s="318"/>
    </row>
    <row r="129" spans="1:9" ht="25">
      <c r="A129" s="119"/>
      <c r="B129" s="318"/>
      <c r="C129" s="318"/>
      <c r="D129" s="318"/>
      <c r="E129" s="318"/>
      <c r="F129" s="119"/>
      <c r="G129" s="318"/>
      <c r="H129" s="318"/>
      <c r="I129" s="318"/>
    </row>
    <row r="130" spans="1:9" ht="25">
      <c r="A130" s="119"/>
      <c r="B130" s="318"/>
      <c r="C130" s="318"/>
      <c r="D130" s="318"/>
      <c r="E130" s="318"/>
      <c r="F130" s="119"/>
      <c r="G130" s="318"/>
      <c r="H130" s="318"/>
      <c r="I130" s="318"/>
    </row>
    <row r="134" spans="1:9">
      <c r="B134" s="467"/>
    </row>
    <row r="136" spans="1:9" ht="20">
      <c r="B136" s="348">
        <v>1</v>
      </c>
    </row>
    <row r="137" spans="1:9" ht="20">
      <c r="B137" s="348"/>
    </row>
    <row r="138" spans="1:9" ht="20">
      <c r="B138" s="348">
        <v>2</v>
      </c>
    </row>
    <row r="139" spans="1:9" ht="20">
      <c r="B139" s="348"/>
    </row>
    <row r="140" spans="1:9" ht="20">
      <c r="B140" s="348">
        <v>1</v>
      </c>
    </row>
    <row r="141" spans="1:9" ht="20">
      <c r="B141" s="348"/>
    </row>
    <row r="142" spans="1:9" ht="20">
      <c r="B142" s="348">
        <v>2</v>
      </c>
    </row>
    <row r="143" spans="1:9" ht="20">
      <c r="B143" s="348"/>
    </row>
    <row r="144" spans="1:9" ht="20">
      <c r="B144" s="348">
        <v>1</v>
      </c>
    </row>
    <row r="145" spans="2:2" ht="20">
      <c r="B145" s="348"/>
    </row>
    <row r="146" spans="2:2" ht="20">
      <c r="B146" s="348">
        <v>2</v>
      </c>
    </row>
    <row r="147" spans="2:2" ht="20">
      <c r="B147" s="348"/>
    </row>
    <row r="148" spans="2:2" ht="20">
      <c r="B148" s="348">
        <v>1</v>
      </c>
    </row>
    <row r="149" spans="2:2" ht="20">
      <c r="B149" s="348"/>
    </row>
    <row r="150" spans="2:2" ht="20">
      <c r="B150" s="348">
        <v>2</v>
      </c>
    </row>
    <row r="151" spans="2:2" ht="20">
      <c r="B151" s="348"/>
    </row>
    <row r="152" spans="2:2" ht="20">
      <c r="B152" s="348">
        <v>1</v>
      </c>
    </row>
    <row r="153" spans="2:2" ht="20">
      <c r="B153" s="348"/>
    </row>
    <row r="154" spans="2:2" ht="20">
      <c r="B154" s="348">
        <v>2</v>
      </c>
    </row>
    <row r="155" spans="2:2" ht="20">
      <c r="B155" s="348"/>
    </row>
    <row r="156" spans="2:2" ht="20">
      <c r="B156" s="348"/>
    </row>
    <row r="157" spans="2:2" ht="20">
      <c r="B157" s="348">
        <v>1</v>
      </c>
    </row>
    <row r="158" spans="2:2" ht="20">
      <c r="B158" s="348"/>
    </row>
    <row r="159" spans="2:2" ht="20">
      <c r="B159" s="348">
        <v>2</v>
      </c>
    </row>
    <row r="160" spans="2:2" ht="20">
      <c r="B160" s="348"/>
    </row>
    <row r="161" spans="2:2" ht="20">
      <c r="B161" s="348">
        <v>1</v>
      </c>
    </row>
    <row r="162" spans="2:2" ht="20">
      <c r="B162" s="348"/>
    </row>
    <row r="163" spans="2:2" ht="20">
      <c r="B163" s="348">
        <v>2</v>
      </c>
    </row>
    <row r="164" spans="2:2" ht="20">
      <c r="B164" s="348"/>
    </row>
    <row r="165" spans="2:2" ht="20">
      <c r="B165" s="348">
        <v>1</v>
      </c>
    </row>
    <row r="166" spans="2:2" ht="20">
      <c r="B166" s="348"/>
    </row>
    <row r="167" spans="2:2" ht="20">
      <c r="B167" s="348">
        <v>2</v>
      </c>
    </row>
    <row r="168" spans="2:2" ht="20">
      <c r="B168" s="348"/>
    </row>
    <row r="169" spans="2:2" ht="20">
      <c r="B169" s="348">
        <v>1</v>
      </c>
    </row>
    <row r="170" spans="2:2" ht="20">
      <c r="B170" s="348"/>
    </row>
    <row r="171" spans="2:2" ht="20">
      <c r="B171" s="348">
        <v>2</v>
      </c>
    </row>
    <row r="172" spans="2:2" ht="20">
      <c r="B172" s="348"/>
    </row>
    <row r="173" spans="2:2" ht="20">
      <c r="B173" s="348"/>
    </row>
    <row r="174" spans="2:2" ht="20">
      <c r="B174" s="348">
        <v>1</v>
      </c>
    </row>
    <row r="175" spans="2:2" ht="20">
      <c r="B175" s="348"/>
    </row>
    <row r="176" spans="2:2" ht="20">
      <c r="B176" s="348">
        <v>2</v>
      </c>
    </row>
    <row r="177" spans="2:2" ht="20">
      <c r="B177" s="348"/>
    </row>
    <row r="178" spans="2:2" ht="20">
      <c r="B178" s="348">
        <v>1</v>
      </c>
    </row>
    <row r="179" spans="2:2" ht="20">
      <c r="B179" s="348"/>
    </row>
    <row r="180" spans="2:2" ht="20">
      <c r="B180" s="348">
        <v>2</v>
      </c>
    </row>
    <row r="181" spans="2:2" ht="20">
      <c r="B181" s="348"/>
    </row>
    <row r="182" spans="2:2" ht="20">
      <c r="B182" s="348">
        <v>1</v>
      </c>
    </row>
    <row r="183" spans="2:2" ht="20">
      <c r="B183" s="348"/>
    </row>
    <row r="184" spans="2:2" ht="20">
      <c r="B184" s="348">
        <v>2</v>
      </c>
    </row>
    <row r="185" spans="2:2" ht="20">
      <c r="B185" s="348"/>
    </row>
    <row r="186" spans="2:2" ht="20">
      <c r="B186" s="348">
        <v>2</v>
      </c>
    </row>
    <row r="187" spans="2:2" ht="20">
      <c r="B187" s="348"/>
    </row>
    <row r="188" spans="2:2" ht="20">
      <c r="B188" s="348">
        <v>1</v>
      </c>
    </row>
    <row r="189" spans="2:2" ht="20">
      <c r="B189" s="348"/>
    </row>
    <row r="190" spans="2:2" ht="20">
      <c r="B190" s="348">
        <v>2</v>
      </c>
    </row>
    <row r="191" spans="2:2" ht="20">
      <c r="B191" s="348"/>
    </row>
    <row r="192" spans="2:2" ht="20">
      <c r="B192" s="348">
        <v>2</v>
      </c>
    </row>
    <row r="193" spans="2:2" ht="20">
      <c r="B193" s="348"/>
    </row>
    <row r="194" spans="2:2" ht="20">
      <c r="B194" s="348">
        <v>1</v>
      </c>
    </row>
    <row r="195" spans="2:2" ht="20">
      <c r="B195" s="348"/>
    </row>
    <row r="196" spans="2:2" ht="20">
      <c r="B196" s="348">
        <v>2</v>
      </c>
    </row>
    <row r="197" spans="2:2" ht="20.25" customHeight="1">
      <c r="B197" s="349"/>
    </row>
    <row r="198" spans="2:2" ht="20">
      <c r="B198" s="348">
        <v>2</v>
      </c>
    </row>
    <row r="199" spans="2:2" ht="20">
      <c r="B199" s="348"/>
    </row>
    <row r="200" spans="2:2" ht="20">
      <c r="B200" s="348">
        <v>1</v>
      </c>
    </row>
    <row r="201" spans="2:2" ht="20">
      <c r="B201" s="348"/>
    </row>
    <row r="202" spans="2:2" ht="20">
      <c r="B202" s="348">
        <v>2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18'!A5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str">
        <f>'Aufgebot 18'!A15</f>
        <v/>
      </c>
      <c r="F6" s="1343"/>
      <c r="G6" s="1343"/>
      <c r="H6" s="1343"/>
      <c r="I6" s="1343"/>
      <c r="J6" s="1320" t="s">
        <v>324</v>
      </c>
      <c r="K6" s="1320"/>
      <c r="L6" s="1321" t="str">
        <f>'Aufgebot 18'!G15</f>
        <v/>
      </c>
      <c r="M6" s="1321"/>
      <c r="N6" s="1321"/>
      <c r="O6" s="1320" t="s">
        <v>323</v>
      </c>
      <c r="P6" s="1320"/>
      <c r="Q6" s="1320"/>
      <c r="R6" s="1320"/>
      <c r="S6" s="1409" t="str">
        <f>'Aufgebot 18'!T15</f>
        <v/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18'!Y5</f>
        <v>18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18'!A8</f>
        <v>STV Rickenbach-Wilen 2 ( NLB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18'!O8</f>
        <v>SVD Diepoldsau-Schmitter (NLA)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18'!A19&amp;" "&amp;'Aufgebot 18'!G19</f>
        <v>Fredy Sprenger +41 79 791 22 59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18'!A9</f>
        <v>Jonas Hess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18'!$G$34&gt;0,1,"")</f>
        <v>1</v>
      </c>
      <c r="H30" s="249">
        <f>IF('Aufgebot 18'!$G$34&gt;0,2,"")</f>
        <v>2</v>
      </c>
      <c r="I30" s="249" t="str">
        <f>IF('Aufgebot 18'!$G$34=3,3,"")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18'!$G$34&gt;0,1,"")</f>
        <v>1</v>
      </c>
      <c r="H32" s="249">
        <f>IF('Aufgebot 18'!$G$34&gt;0,2,"")</f>
        <v>2</v>
      </c>
      <c r="I32" s="249" t="str">
        <f>IF('Aufgebot 18'!$G$34=3,3,"")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18'!$G$34&gt;0,1,"")</f>
        <v>1</v>
      </c>
      <c r="H34" s="249">
        <f>IF('Aufgebot 18'!$G$34&gt;0,2,"")</f>
        <v>2</v>
      </c>
      <c r="I34" s="249" t="str">
        <f>IF('Aufgebot 18'!$G$34=3,3,"")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18'!$G$34&gt;0,1,"")</f>
        <v>1</v>
      </c>
      <c r="H36" s="249">
        <f>IF('Aufgebot 18'!$G$34&gt;0,2,"")</f>
        <v>2</v>
      </c>
      <c r="I36" s="249" t="str">
        <f>IF('Aufgebot 18'!$G$34=3,3,"")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18'!$G$34&gt;0,1,"")</f>
        <v>1</v>
      </c>
      <c r="H39" s="249">
        <f>IF('Aufgebot 18'!$G$34&gt;0,2,"")</f>
        <v>2</v>
      </c>
      <c r="I39" s="249" t="str">
        <f>IF('Aufgebot 18'!$G$34=3,3,"")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18'!$G$34&gt;0,1,"")</f>
        <v>1</v>
      </c>
      <c r="H41" s="249">
        <f>IF('Aufgebot 18'!$G$34&gt;0,2,"")</f>
        <v>2</v>
      </c>
      <c r="I41" s="249" t="str">
        <f>IF('Aufgebot 18'!$G$34=3,3,"")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18'!$G$34&gt;0,1,"")</f>
        <v>1</v>
      </c>
      <c r="H43" s="249">
        <f>IF('Aufgebot 18'!$G$34&gt;0,2,"")</f>
        <v>2</v>
      </c>
      <c r="I43" s="249" t="str">
        <f>IF('Aufgebot 18'!$G$34=3,3,"")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18'!$G$34&gt;0,1,"")</f>
        <v>1</v>
      </c>
      <c r="H45" s="249">
        <f>IF('Aufgebot 18'!$G$34&gt;0,2,"")</f>
        <v>2</v>
      </c>
      <c r="I45" s="249" t="str">
        <f>IF('Aufgebot 18'!$G$34=3,3,"")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18'!$G$34&gt;0,1,"")</f>
        <v>1</v>
      </c>
      <c r="H48" s="249">
        <f>IF('Aufgebot 18'!$G$34&gt;0,2,"")</f>
        <v>2</v>
      </c>
      <c r="I48" s="249" t="str">
        <f>IF('Aufgebot 18'!$G$34=3,3,"")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f>'Aufgebot 18'!A2</f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18'!Y5+1</f>
        <v>19</v>
      </c>
      <c r="Z5" s="394"/>
      <c r="AA5" s="396"/>
      <c r="AC5" s="156"/>
      <c r="AD5" s="265"/>
      <c r="AE5" s="172"/>
    </row>
    <row r="6" spans="1:33" ht="9" customHeight="1" thickBot="1">
      <c r="A6" s="363">
        <f>Eigaben!F52</f>
        <v>41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Eigaben!G52</f>
        <v>67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FBV Ettenhausen ( 2. Liga S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Fricktal ( NLA 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Simon  Kunz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Patrick Hochreuter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Matthofstr 43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8355 Aadorf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Scheuerackerweg 16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5223 Riniken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079 438 17 59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079 238 91 30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simon.kunz@fbv-ettenhausen.ch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info@fgfricktal.ch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Eigaben!C52</f>
        <v>19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IF(Eigaben!D52=0,"",VLOOKUP(C13,Eigaben!$C$28:$V$109,13,0))</f>
        <v>45832</v>
      </c>
      <c r="B15" s="1199"/>
      <c r="C15" s="1199"/>
      <c r="D15" s="1199"/>
      <c r="E15" s="1199"/>
      <c r="F15" s="1199"/>
      <c r="G15" s="1194">
        <f>IF(Eigaben!D52=0,"",VLOOKUP(C13,Eigaben!$C$28:$V$110,14,0))</f>
        <v>0.8125</v>
      </c>
      <c r="H15" s="1194"/>
      <c r="I15" s="1194"/>
      <c r="J15" s="1194"/>
      <c r="K15" s="1194"/>
      <c r="L15" s="1195" t="str">
        <f>IF(Eigaben!D52=0,"",VLOOKUP(C13,Eigaben!$C$28:$V$1110,15,0))</f>
        <v>Ettenhausen</v>
      </c>
      <c r="M15" s="1196"/>
      <c r="N15" s="1196"/>
      <c r="O15" s="1196"/>
      <c r="P15" s="1196"/>
      <c r="Q15" s="1196"/>
      <c r="R15" s="1196"/>
      <c r="S15" s="1197"/>
      <c r="T15" s="1425" t="str">
        <f>IF(Eigaben!D52=0,"",VLOOKUP(C13,Eigaben!$C$28:$V$110,16,0))</f>
        <v>Schulhaus Ettenhausen</v>
      </c>
      <c r="U15" s="1426"/>
      <c r="V15" s="1426"/>
      <c r="W15" s="1426"/>
      <c r="X15" s="1426"/>
      <c r="Y15" s="1426"/>
      <c r="Z15" s="1426"/>
      <c r="AA15" s="1427"/>
      <c r="AC15" s="397"/>
      <c r="AD15" s="397"/>
      <c r="AG15" s="12"/>
    </row>
    <row r="16" spans="1:33" ht="12.75" customHeight="1" thickBot="1">
      <c r="A16" s="357"/>
      <c r="B16" s="358"/>
      <c r="C16" s="359">
        <f>Eigaben!T52</f>
        <v>79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Daniel Ziereisen</v>
      </c>
      <c r="B19" s="1362"/>
      <c r="C19" s="1362"/>
      <c r="D19" s="1362"/>
      <c r="E19" s="1362"/>
      <c r="F19" s="1363"/>
      <c r="G19" s="860" t="str">
        <f>IF(C16=0,"",VLOOKUP(C16,Schiri_25!A2:L181,9,1))</f>
        <v>+41 79 672 26 12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+41 52 364 23 90</v>
      </c>
      <c r="N19" s="1408"/>
      <c r="O19" s="1408"/>
      <c r="P19" s="1408"/>
      <c r="Q19" s="902"/>
      <c r="R19" s="1130" t="str">
        <f>IF(C16=0,"",VLOOKUP(C16,Schiri_25!A2:L181,12,1))</f>
        <v>daniel.ziereisen@hcs-controls.ch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Eigaben!V52</f>
        <v>6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3" t="s">
        <v>245</v>
      </c>
      <c r="F32" s="1423"/>
      <c r="G32" s="1423"/>
      <c r="H32" s="1423"/>
      <c r="I32" s="1423"/>
      <c r="J32" s="1423"/>
      <c r="K32" s="1423"/>
      <c r="L32" s="1423"/>
      <c r="M32" s="1423"/>
      <c r="N32" s="1423"/>
      <c r="O32" s="1423"/>
      <c r="P32" s="865" t="s">
        <v>1020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Eigaben!S52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279" priority="20" stopIfTrue="1" operator="greaterThan">
      <formula>$C$41</formula>
    </cfRule>
  </conditionalFormatting>
  <conditionalFormatting sqref="C41">
    <cfRule type="cellIs" dxfId="278" priority="10" stopIfTrue="1" operator="greaterThan">
      <formula>$A$41</formula>
    </cfRule>
    <cfRule type="cellIs" dxfId="277" priority="11" stopIfTrue="1" operator="greaterThan">
      <formula>$A$41</formula>
    </cfRule>
  </conditionalFormatting>
  <conditionalFormatting sqref="D41">
    <cfRule type="cellIs" dxfId="276" priority="19" stopIfTrue="1" operator="greaterThan">
      <formula>$F$41</formula>
    </cfRule>
  </conditionalFormatting>
  <conditionalFormatting sqref="F41">
    <cfRule type="cellIs" dxfId="275" priority="9" stopIfTrue="1" operator="greaterThan">
      <formula>$D$41</formula>
    </cfRule>
  </conditionalFormatting>
  <conditionalFormatting sqref="G41">
    <cfRule type="cellIs" dxfId="274" priority="18" stopIfTrue="1" operator="greaterThan">
      <formula>$I$41</formula>
    </cfRule>
  </conditionalFormatting>
  <conditionalFormatting sqref="I41">
    <cfRule type="cellIs" dxfId="273" priority="8" stopIfTrue="1" operator="greaterThan">
      <formula>$G$41</formula>
    </cfRule>
  </conditionalFormatting>
  <conditionalFormatting sqref="J41">
    <cfRule type="cellIs" dxfId="272" priority="17" stopIfTrue="1" operator="greaterThan">
      <formula>$L$41</formula>
    </cfRule>
  </conditionalFormatting>
  <conditionalFormatting sqref="L41">
    <cfRule type="cellIs" dxfId="271" priority="7" stopIfTrue="1" operator="greaterThan">
      <formula>$J$41</formula>
    </cfRule>
  </conditionalFormatting>
  <conditionalFormatting sqref="M41">
    <cfRule type="cellIs" dxfId="270" priority="16" stopIfTrue="1" operator="greaterThan">
      <formula>$O$41</formula>
    </cfRule>
  </conditionalFormatting>
  <conditionalFormatting sqref="O41">
    <cfRule type="cellIs" dxfId="269" priority="6" stopIfTrue="1" operator="greaterThan">
      <formula>$M$41</formula>
    </cfRule>
  </conditionalFormatting>
  <conditionalFormatting sqref="P41">
    <cfRule type="cellIs" dxfId="268" priority="15" stopIfTrue="1" operator="greaterThan">
      <formula>$R$41</formula>
    </cfRule>
  </conditionalFormatting>
  <conditionalFormatting sqref="R41">
    <cfRule type="cellIs" dxfId="267" priority="5" stopIfTrue="1" operator="greaterThan">
      <formula>$P$41</formula>
    </cfRule>
  </conditionalFormatting>
  <conditionalFormatting sqref="S41">
    <cfRule type="cellIs" dxfId="266" priority="14" stopIfTrue="1" operator="greaterThan">
      <formula>$U$41</formula>
    </cfRule>
  </conditionalFormatting>
  <conditionalFormatting sqref="U41">
    <cfRule type="cellIs" dxfId="265" priority="1" stopIfTrue="1" operator="greaterThan">
      <formula>$S$41</formula>
    </cfRule>
    <cfRule type="cellIs" dxfId="264" priority="4" stopIfTrue="1" operator="greaterThan">
      <formula>$U$41</formula>
    </cfRule>
  </conditionalFormatting>
  <conditionalFormatting sqref="V41">
    <cfRule type="cellIs" dxfId="263" priority="13" stopIfTrue="1" operator="greaterThan">
      <formula>$X$41</formula>
    </cfRule>
  </conditionalFormatting>
  <conditionalFormatting sqref="X41">
    <cfRule type="cellIs" dxfId="262" priority="3" stopIfTrue="1" operator="greaterThan">
      <formula>$V$41</formula>
    </cfRule>
  </conditionalFormatting>
  <conditionalFormatting sqref="Y41">
    <cfRule type="cellIs" dxfId="261" priority="12" stopIfTrue="1" operator="greaterThan">
      <formula>$AA$41</formula>
    </cfRule>
  </conditionalFormatting>
  <conditionalFormatting sqref="AA41">
    <cfRule type="cellIs" dxfId="260" priority="2" stopIfTrue="1" operator="greaterThan">
      <formula>$Y$41</formula>
    </cfRule>
  </conditionalFormatting>
  <hyperlinks>
    <hyperlink ref="R45" r:id="rId1" display="pabst@swissfaustball.ch" xr:uid="{00000000-0004-0000-31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19'!A5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19'!A15</f>
        <v>45832</v>
      </c>
      <c r="F6" s="1343"/>
      <c r="G6" s="1343"/>
      <c r="H6" s="1343"/>
      <c r="I6" s="1343"/>
      <c r="J6" s="1320" t="s">
        <v>324</v>
      </c>
      <c r="K6" s="1320"/>
      <c r="L6" s="1321">
        <f>'Aufgebot 19'!G15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19'!L15</f>
        <v>Ettenhausen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19'!Y5</f>
        <v>19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19'!A8</f>
        <v>FBV Ettenhausen ( 2. Liga S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19'!O8</f>
        <v>FG Fricktal ( NLA 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19'!A19&amp;" "&amp;'Aufgebot 19'!G19</f>
        <v>Daniel Ziereisen +41 79 672 26 12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19'!A9</f>
        <v>Simon  Kunz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19'!$G$34&gt;0,1,"")</f>
        <v>1</v>
      </c>
      <c r="H30" s="249">
        <f>IF('Aufgebot 19'!$G$34&gt;0,2,"")</f>
        <v>2</v>
      </c>
      <c r="I30" s="249">
        <f>IF('Aufgebot 19'!$G$34=3,3,"")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19'!$G$34&gt;0,1,"")</f>
        <v>1</v>
      </c>
      <c r="H32" s="249">
        <f>IF('Aufgebot 19'!$G$34&gt;0,2,"")</f>
        <v>2</v>
      </c>
      <c r="I32" s="249">
        <f>IF('Aufgebot 19'!$G$34=3,3,"")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19'!$G$34&gt;0,1,"")</f>
        <v>1</v>
      </c>
      <c r="H34" s="249">
        <f>IF('Aufgebot 19'!$G$34&gt;0,2,"")</f>
        <v>2</v>
      </c>
      <c r="I34" s="249">
        <f>IF('Aufgebot 19'!$G$34=3,3,"")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19'!$G$34&gt;0,1,"")</f>
        <v>1</v>
      </c>
      <c r="H36" s="249">
        <f>IF('Aufgebot 19'!$G$34&gt;0,2,"")</f>
        <v>2</v>
      </c>
      <c r="I36" s="249">
        <f>IF('Aufgebot 19'!$G$34=3,3,"")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19'!$G$34&gt;0,1,"")</f>
        <v>1</v>
      </c>
      <c r="H39" s="249">
        <f>IF('Aufgebot 19'!$G$34&gt;0,2,"")</f>
        <v>2</v>
      </c>
      <c r="I39" s="249">
        <f>IF('Aufgebot 19'!$G$34=3,3,"")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19'!$G$34&gt;0,1,"")</f>
        <v>1</v>
      </c>
      <c r="H41" s="249">
        <f>IF('Aufgebot 19'!$G$34&gt;0,2,"")</f>
        <v>2</v>
      </c>
      <c r="I41" s="249">
        <f>IF('Aufgebot 19'!$G$34=3,3,"")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19'!$G$34&gt;0,1,"")</f>
        <v>1</v>
      </c>
      <c r="H43" s="249">
        <f>IF('Aufgebot 19'!$G$34&gt;0,2,"")</f>
        <v>2</v>
      </c>
      <c r="I43" s="249">
        <f>IF('Aufgebot 19'!$G$34=3,3,"")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19'!$G$34&gt;0,1,"")</f>
        <v>1</v>
      </c>
      <c r="H45" s="249">
        <f>IF('Aufgebot 19'!$G$34&gt;0,2,"")</f>
        <v>2</v>
      </c>
      <c r="I45" s="249">
        <f>IF('Aufgebot 19'!$G$34=3,3,"")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19'!$G$34&gt;0,1,"")</f>
        <v>1</v>
      </c>
      <c r="H48" s="249">
        <f>IF('Aufgebot 19'!$G$34&gt;0,2,"")</f>
        <v>2</v>
      </c>
      <c r="I48" s="249">
        <f>IF('Aufgebot 19'!$G$34=3,3,"")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19'!Y5+1</f>
        <v>20</v>
      </c>
      <c r="Z5" s="394"/>
      <c r="AA5" s="396"/>
      <c r="AC5" s="156"/>
      <c r="AD5" s="265"/>
      <c r="AE5" s="172"/>
    </row>
    <row r="6" spans="1:33" ht="9" customHeight="1" thickBot="1">
      <c r="A6" s="363">
        <f>Eigaben!F53</f>
        <v>70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Eigaben!G53</f>
        <v>64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SUS Widnau   ( NLA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Affeltrangen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Remo Pinchera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Ribi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2b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8507 Hörhausen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079 404 47 21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079 585 70 85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remo.pinchera@faustball-widnau.ch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 xml:space="preserve">faustball@stv-affeltrangen.ch 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Eigaben!C53</f>
        <v>20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IF(Eigaben!C53=0,"",VLOOKUP(C13,Eigaben!$C$28:$V$109,13,0))</f>
        <v>45853</v>
      </c>
      <c r="B15" s="1199"/>
      <c r="C15" s="1199"/>
      <c r="D15" s="1199"/>
      <c r="E15" s="1199"/>
      <c r="F15" s="1199"/>
      <c r="G15" s="1194">
        <f>IF(Eigaben!C53=0,"",VLOOKUP(C13,Eigaben!$C$28:$V$110,14,0))</f>
        <v>0.83333333333333337</v>
      </c>
      <c r="H15" s="1194"/>
      <c r="I15" s="1194"/>
      <c r="J15" s="1194"/>
      <c r="K15" s="1194"/>
      <c r="L15" s="1195" t="str">
        <f>IF(Eigaben!C53=0,"",VLOOKUP(C13,Eigaben!$C$28:$V$1110,15,0))</f>
        <v>Widnau</v>
      </c>
      <c r="M15" s="1196"/>
      <c r="N15" s="1196"/>
      <c r="O15" s="1196"/>
      <c r="P15" s="1196"/>
      <c r="Q15" s="1196"/>
      <c r="R15" s="1196"/>
      <c r="S15" s="1197"/>
      <c r="T15" s="1195" t="str">
        <f>IF(Eigaben!C53=0,"",VLOOKUP(C13,Eigaben!$C$28:$V$110,16,0))</f>
        <v>Lugwies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Eigaben!T53</f>
        <v>13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Patrick Sieber</v>
      </c>
      <c r="B19" s="1362"/>
      <c r="C19" s="1362"/>
      <c r="D19" s="1362"/>
      <c r="E19" s="1362"/>
      <c r="F19" s="1363"/>
      <c r="G19" s="860" t="str">
        <f>IF(C16=0,"",VLOOKUP(C16,Schiri_25!A2:L181,9,1))</f>
        <v>+41 79 473 61 88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+41 79 473 61 88</v>
      </c>
      <c r="N19" s="1408"/>
      <c r="O19" s="1408"/>
      <c r="P19" s="1408"/>
      <c r="Q19" s="902"/>
      <c r="R19" s="1364" t="str">
        <f>IF(C16=0,"",VLOOKUP(C16,Schiri_25!A2:L181,12,1))</f>
        <v>sieber.patrick@rsnweb.ch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0.82291666666666674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Eigaben!V53</f>
        <v>3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Eigaben!S53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P32:AA32"/>
    <mergeCell ref="E32:O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259" priority="20" stopIfTrue="1" operator="greaterThan">
      <formula>$C$41</formula>
    </cfRule>
  </conditionalFormatting>
  <conditionalFormatting sqref="C41">
    <cfRule type="cellIs" dxfId="258" priority="10" stopIfTrue="1" operator="greaterThan">
      <formula>$A$41</formula>
    </cfRule>
    <cfRule type="cellIs" dxfId="257" priority="11" stopIfTrue="1" operator="greaterThan">
      <formula>$A$41</formula>
    </cfRule>
  </conditionalFormatting>
  <conditionalFormatting sqref="D41">
    <cfRule type="cellIs" dxfId="256" priority="19" stopIfTrue="1" operator="greaterThan">
      <formula>$F$41</formula>
    </cfRule>
  </conditionalFormatting>
  <conditionalFormatting sqref="F41">
    <cfRule type="cellIs" dxfId="255" priority="9" stopIfTrue="1" operator="greaterThan">
      <formula>$D$41</formula>
    </cfRule>
  </conditionalFormatting>
  <conditionalFormatting sqref="G41">
    <cfRule type="cellIs" dxfId="254" priority="18" stopIfTrue="1" operator="greaterThan">
      <formula>$I$41</formula>
    </cfRule>
  </conditionalFormatting>
  <conditionalFormatting sqref="I41">
    <cfRule type="cellIs" dxfId="253" priority="8" stopIfTrue="1" operator="greaterThan">
      <formula>$G$41</formula>
    </cfRule>
  </conditionalFormatting>
  <conditionalFormatting sqref="J41">
    <cfRule type="cellIs" dxfId="252" priority="17" stopIfTrue="1" operator="greaterThan">
      <formula>$L$41</formula>
    </cfRule>
  </conditionalFormatting>
  <conditionalFormatting sqref="L41">
    <cfRule type="cellIs" dxfId="251" priority="7" stopIfTrue="1" operator="greaterThan">
      <formula>$J$41</formula>
    </cfRule>
  </conditionalFormatting>
  <conditionalFormatting sqref="M41">
    <cfRule type="cellIs" dxfId="250" priority="16" stopIfTrue="1" operator="greaterThan">
      <formula>$O$41</formula>
    </cfRule>
  </conditionalFormatting>
  <conditionalFormatting sqref="O41">
    <cfRule type="cellIs" dxfId="249" priority="6" stopIfTrue="1" operator="greaterThan">
      <formula>$M$41</formula>
    </cfRule>
  </conditionalFormatting>
  <conditionalFormatting sqref="P41">
    <cfRule type="cellIs" dxfId="248" priority="15" stopIfTrue="1" operator="greaterThan">
      <formula>$R$41</formula>
    </cfRule>
  </conditionalFormatting>
  <conditionalFormatting sqref="R41">
    <cfRule type="cellIs" dxfId="247" priority="5" stopIfTrue="1" operator="greaterThan">
      <formula>$P$41</formula>
    </cfRule>
  </conditionalFormatting>
  <conditionalFormatting sqref="S41">
    <cfRule type="cellIs" dxfId="246" priority="14" stopIfTrue="1" operator="greaterThan">
      <formula>$U$41</formula>
    </cfRule>
  </conditionalFormatting>
  <conditionalFormatting sqref="U41">
    <cfRule type="cellIs" dxfId="245" priority="1" stopIfTrue="1" operator="greaterThan">
      <formula>$S$41</formula>
    </cfRule>
    <cfRule type="cellIs" dxfId="244" priority="4" stopIfTrue="1" operator="greaterThan">
      <formula>$U$41</formula>
    </cfRule>
  </conditionalFormatting>
  <conditionalFormatting sqref="V41">
    <cfRule type="cellIs" dxfId="243" priority="13" stopIfTrue="1" operator="greaterThan">
      <formula>$X$41</formula>
    </cfRule>
  </conditionalFormatting>
  <conditionalFormatting sqref="X41">
    <cfRule type="cellIs" dxfId="242" priority="3" stopIfTrue="1" operator="greaterThan">
      <formula>$V$41</formula>
    </cfRule>
  </conditionalFormatting>
  <conditionalFormatting sqref="Y41">
    <cfRule type="cellIs" dxfId="241" priority="12" stopIfTrue="1" operator="greaterThan">
      <formula>$AA$41</formula>
    </cfRule>
  </conditionalFormatting>
  <conditionalFormatting sqref="AA41">
    <cfRule type="cellIs" dxfId="240" priority="2" stopIfTrue="1" operator="greaterThan">
      <formula>$Y$41</formula>
    </cfRule>
  </conditionalFormatting>
  <hyperlinks>
    <hyperlink ref="R45" r:id="rId1" display="pabst@swissfaustball.ch" xr:uid="{00000000-0004-0000-33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20'!A5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20'!L15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20'!Y5</f>
        <v>20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20'!A8</f>
        <v>SUS Widnau   ( NLA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20'!O8</f>
        <v>STV Affeltrangen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20'!A19&amp;" "&amp;'Aufgebot 20'!G19</f>
        <v>Patrick Sieber +41 79 473 61 88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20'!A9</f>
        <v>Remo Pinchera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20'!$G$34&gt;0,1,"")</f>
        <v/>
      </c>
      <c r="H30" s="249" t="str">
        <f>IF('Aufgebot 20'!$G$34&gt;0,2,"")</f>
        <v/>
      </c>
      <c r="I30" s="249" t="str">
        <f>IF('Aufgebot 20'!$G$34=3,3,"")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IF('Aufgebot 20'!$G$34&gt;0,1,"")</f>
        <v/>
      </c>
      <c r="H32" s="249" t="str">
        <f>IF('Aufgebot 20'!$G$34&gt;0,2,"")</f>
        <v/>
      </c>
      <c r="I32" s="249" t="str">
        <f>IF('Aufgebot 20'!$G$34=3,3,"")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IF('Aufgebot 20'!$G$34&gt;0,1,"")</f>
        <v/>
      </c>
      <c r="H34" s="249" t="str">
        <f>IF('Aufgebot 20'!$G$34&gt;0,2,"")</f>
        <v/>
      </c>
      <c r="I34" s="249" t="str">
        <f>IF('Aufgebot 20'!$G$34=3,3,"")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IF('Aufgebot 20'!$G$34&gt;0,1,"")</f>
        <v/>
      </c>
      <c r="H36" s="249" t="str">
        <f>IF('Aufgebot 20'!$G$34&gt;0,2,"")</f>
        <v/>
      </c>
      <c r="I36" s="249" t="str">
        <f>IF('Aufgebot 20'!$G$34=3,3,"")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IF('Aufgebot 20'!$G$34&gt;0,1,"")</f>
        <v/>
      </c>
      <c r="H39" s="249" t="str">
        <f>IF('Aufgebot 20'!$G$34&gt;0,2,"")</f>
        <v/>
      </c>
      <c r="I39" s="249" t="str">
        <f>IF('Aufgebot 20'!$G$34=3,3,"")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IF('Aufgebot 20'!$G$34&gt;0,1,"")</f>
        <v/>
      </c>
      <c r="H41" s="249" t="str">
        <f>IF('Aufgebot 20'!$G$34&gt;0,2,"")</f>
        <v/>
      </c>
      <c r="I41" s="249" t="str">
        <f>IF('Aufgebot 20'!$G$34=3,3,"")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IF('Aufgebot 20'!$G$34&gt;0,1,"")</f>
        <v/>
      </c>
      <c r="H43" s="249" t="str">
        <f>IF('Aufgebot 20'!$G$34&gt;0,2,"")</f>
        <v/>
      </c>
      <c r="I43" s="249" t="str">
        <f>IF('Aufgebot 20'!$G$34=3,3,"")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IF('Aufgebot 20'!$G$34&gt;0,1,"")</f>
        <v/>
      </c>
      <c r="H45" s="249" t="str">
        <f>IF('Aufgebot 20'!$G$34&gt;0,2,"")</f>
        <v/>
      </c>
      <c r="I45" s="249" t="str">
        <f>IF('Aufgebot 20'!$G$34=3,3,"")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IF('Aufgebot 20'!$G$34&gt;0,1,"")</f>
        <v/>
      </c>
      <c r="H48" s="249" t="str">
        <f>IF('Aufgebot 20'!$G$34&gt;0,2,"")</f>
        <v/>
      </c>
      <c r="I48" s="249" t="str">
        <f>IF('Aufgebot 20'!$G$34=3,3,"")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20'!Y5+1</f>
        <v>21</v>
      </c>
      <c r="Z5" s="394"/>
      <c r="AA5" s="396"/>
      <c r="AC5" s="156"/>
      <c r="AD5" s="265"/>
      <c r="AE5" s="172"/>
    </row>
    <row r="6" spans="1:33" ht="9" customHeight="1" thickBot="1">
      <c r="A6" s="363">
        <f>Eigaben!F54</f>
        <v>63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Eigaben!G54</f>
        <v>68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Vordemwald 1 ( NLB W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Oberentfelden 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Reto von Ballmoos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Christian Suter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Rotfarbstr 9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Aeppenhaldenstr 3b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4800 Zofingen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079 721 45 82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079 476 04 32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reto.vonballmoos@gmail.com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christian.suter@faustballcenter.ch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Eigaben!C54</f>
        <v>21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IF(Eigaben!C54=0,"",VLOOKUP(C13,Eigaben!$C$28:$V$109,13,0))</f>
        <v>45819</v>
      </c>
      <c r="B15" s="1199"/>
      <c r="C15" s="1199"/>
      <c r="D15" s="1199"/>
      <c r="E15" s="1199"/>
      <c r="F15" s="1199"/>
      <c r="G15" s="1194">
        <f>IF(Eigaben!C54=0,"",VLOOKUP(C13,Eigaben!$C$28:$V$110,14,0))</f>
        <v>0.8125</v>
      </c>
      <c r="H15" s="1194"/>
      <c r="I15" s="1194"/>
      <c r="J15" s="1194"/>
      <c r="K15" s="1194"/>
      <c r="L15" s="1195" t="str">
        <f>IF(Eigaben!C54=0,"",VLOOKUP(C13,Eigaben!$C$28:$V$1110,15,0))</f>
        <v>Vordemwald</v>
      </c>
      <c r="M15" s="1196"/>
      <c r="N15" s="1196"/>
      <c r="O15" s="1196"/>
      <c r="P15" s="1196"/>
      <c r="Q15" s="1196"/>
      <c r="R15" s="1196"/>
      <c r="S15" s="1197"/>
      <c r="T15" s="1195" t="str">
        <f>IF(Eigaben!C54=0,"",VLOOKUP(C13,Eigaben!$C$28:$V$110,16,0))</f>
        <v>Sportplatz Schulhaus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Eigaben!T54</f>
        <v>44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Stephan Wagner</v>
      </c>
      <c r="B19" s="1362"/>
      <c r="C19" s="1362"/>
      <c r="D19" s="1362"/>
      <c r="E19" s="1362"/>
      <c r="F19" s="1363"/>
      <c r="G19" s="860" t="str">
        <f>IF(C16=0,"",VLOOKUP(C16,Schiri_25!A2:L181,9,1))</f>
        <v>+41 79 651 82 59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+41 62 393 19 07</v>
      </c>
      <c r="N19" s="1408"/>
      <c r="O19" s="1408"/>
      <c r="P19" s="1408"/>
      <c r="Q19" s="902"/>
      <c r="R19" s="1364" t="str">
        <f>IF(C16=0,"",VLOOKUP(C16,Schiri_25!A2:L181,12,1))</f>
        <v>t.s.wagner@bluewin.ch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Eigaben!V54</f>
        <v>18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Eigaben!S54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P32:AA32"/>
    <mergeCell ref="E32:O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239" priority="20" stopIfTrue="1" operator="greaterThan">
      <formula>$C$41</formula>
    </cfRule>
  </conditionalFormatting>
  <conditionalFormatting sqref="C41">
    <cfRule type="cellIs" dxfId="238" priority="10" stopIfTrue="1" operator="greaterThan">
      <formula>$A$41</formula>
    </cfRule>
    <cfRule type="cellIs" dxfId="237" priority="11" stopIfTrue="1" operator="greaterThan">
      <formula>$A$41</formula>
    </cfRule>
  </conditionalFormatting>
  <conditionalFormatting sqref="D41">
    <cfRule type="cellIs" dxfId="236" priority="19" stopIfTrue="1" operator="greaterThan">
      <formula>$F$41</formula>
    </cfRule>
  </conditionalFormatting>
  <conditionalFormatting sqref="F41">
    <cfRule type="cellIs" dxfId="235" priority="9" stopIfTrue="1" operator="greaterThan">
      <formula>$D$41</formula>
    </cfRule>
  </conditionalFormatting>
  <conditionalFormatting sqref="G41">
    <cfRule type="cellIs" dxfId="234" priority="18" stopIfTrue="1" operator="greaterThan">
      <formula>$I$41</formula>
    </cfRule>
  </conditionalFormatting>
  <conditionalFormatting sqref="I41">
    <cfRule type="cellIs" dxfId="233" priority="8" stopIfTrue="1" operator="greaterThan">
      <formula>$G$41</formula>
    </cfRule>
  </conditionalFormatting>
  <conditionalFormatting sqref="J41">
    <cfRule type="cellIs" dxfId="232" priority="17" stopIfTrue="1" operator="greaterThan">
      <formula>$L$41</formula>
    </cfRule>
  </conditionalFormatting>
  <conditionalFormatting sqref="L41">
    <cfRule type="cellIs" dxfId="231" priority="7" stopIfTrue="1" operator="greaterThan">
      <formula>$J$41</formula>
    </cfRule>
  </conditionalFormatting>
  <conditionalFormatting sqref="M41">
    <cfRule type="cellIs" dxfId="230" priority="16" stopIfTrue="1" operator="greaterThan">
      <formula>$O$41</formula>
    </cfRule>
  </conditionalFormatting>
  <conditionalFormatting sqref="O41">
    <cfRule type="cellIs" dxfId="229" priority="6" stopIfTrue="1" operator="greaterThan">
      <formula>$M$41</formula>
    </cfRule>
  </conditionalFormatting>
  <conditionalFormatting sqref="P41">
    <cfRule type="cellIs" dxfId="228" priority="15" stopIfTrue="1" operator="greaterThan">
      <formula>$R$41</formula>
    </cfRule>
  </conditionalFormatting>
  <conditionalFormatting sqref="R41">
    <cfRule type="cellIs" dxfId="227" priority="5" stopIfTrue="1" operator="greaterThan">
      <formula>$P$41</formula>
    </cfRule>
  </conditionalFormatting>
  <conditionalFormatting sqref="S41">
    <cfRule type="cellIs" dxfId="226" priority="14" stopIfTrue="1" operator="greaterThan">
      <formula>$U$41</formula>
    </cfRule>
  </conditionalFormatting>
  <conditionalFormatting sqref="U41">
    <cfRule type="cellIs" dxfId="225" priority="1" stopIfTrue="1" operator="greaterThan">
      <formula>$S$41</formula>
    </cfRule>
    <cfRule type="cellIs" dxfId="224" priority="4" stopIfTrue="1" operator="greaterThan">
      <formula>$U$41</formula>
    </cfRule>
  </conditionalFormatting>
  <conditionalFormatting sqref="V41">
    <cfRule type="cellIs" dxfId="223" priority="13" stopIfTrue="1" operator="greaterThan">
      <formula>$X$41</formula>
    </cfRule>
  </conditionalFormatting>
  <conditionalFormatting sqref="X41">
    <cfRule type="cellIs" dxfId="222" priority="3" stopIfTrue="1" operator="greaterThan">
      <formula>$V$41</formula>
    </cfRule>
  </conditionalFormatting>
  <conditionalFormatting sqref="Y41">
    <cfRule type="cellIs" dxfId="221" priority="12" stopIfTrue="1" operator="greaterThan">
      <formula>$AA$41</formula>
    </cfRule>
  </conditionalFormatting>
  <conditionalFormatting sqref="AA41">
    <cfRule type="cellIs" dxfId="220" priority="2" stopIfTrue="1" operator="greaterThan">
      <formula>$Y$41</formula>
    </cfRule>
  </conditionalFormatting>
  <hyperlinks>
    <hyperlink ref="R45" r:id="rId1" display="pabst@swissfaustball.ch" xr:uid="{00000000-0004-0000-35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11"/>
  </sheetPr>
  <dimension ref="A1:AN58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20'!A5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21'!L15</f>
        <v>Vordemwald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21'!Y5</f>
        <v>21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21'!A8</f>
        <v>STV Vordemwald 1 ( NLB W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21'!O8</f>
        <v>STV Oberentfelden 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21'!A19&amp;" "&amp;'Aufgebot 21'!G19</f>
        <v>Stephan Wagner +41 79 651 82 59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20'!A9</f>
        <v>Remo Pinchera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21'!$G$34&gt;0,1,"")</f>
        <v>1</v>
      </c>
      <c r="H30" s="248">
        <f>IF('Aufgebot 21'!$G$34&gt;0,2,"")</f>
        <v>2</v>
      </c>
      <c r="I30" s="248" t="str">
        <f>IF('Aufgebot 21'!$G$34=3,3,"")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21'!$G$34&gt;0,1,"")</f>
        <v>1</v>
      </c>
      <c r="H32" s="249">
        <f>IF('Aufgebot 21'!$G$34&gt;0,2,"")</f>
        <v>2</v>
      </c>
      <c r="I32" s="248" t="str">
        <f>IF('Aufgebot 21'!$G$34=3,3,"")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21'!$G$34&gt;0,1,"")</f>
        <v>1</v>
      </c>
      <c r="H34" s="249">
        <f>IF('Aufgebot 21'!$G$34&gt;0,2,"")</f>
        <v>2</v>
      </c>
      <c r="I34" s="248" t="str">
        <f>IF('Aufgebot 21'!$G$34=3,3,"")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21'!$G$34&gt;0,1,"")</f>
        <v>1</v>
      </c>
      <c r="H36" s="249">
        <f>IF('Aufgebot 21'!$G$34&gt;0,2,"")</f>
        <v>2</v>
      </c>
      <c r="I36" s="248" t="str">
        <f>IF('Aufgebot 21'!$G$34=3,3,"")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21'!$G$34&gt;0,1,"")</f>
        <v>1</v>
      </c>
      <c r="H39" s="249">
        <f>IF('Aufgebot 21'!$G$34&gt;0,2,"")</f>
        <v>2</v>
      </c>
      <c r="I39" s="248" t="str">
        <f>IF('Aufgebot 21'!$G$34=3,3,"")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21'!$G$34&gt;0,1,"")</f>
        <v>1</v>
      </c>
      <c r="H41" s="249">
        <f>IF('Aufgebot 21'!$G$34&gt;0,2,"")</f>
        <v>2</v>
      </c>
      <c r="I41" s="248" t="str">
        <f>IF('Aufgebot 21'!$G$34=3,3,"")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21'!$G$34&gt;0,1,"")</f>
        <v>1</v>
      </c>
      <c r="H43" s="249">
        <f>IF('Aufgebot 21'!$G$34&gt;0,2,"")</f>
        <v>2</v>
      </c>
      <c r="I43" s="248" t="str">
        <f>IF('Aufgebot 21'!$G$34=3,3,"")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21'!$G$34&gt;0,1,"")</f>
        <v>1</v>
      </c>
      <c r="H45" s="249">
        <f>IF('Aufgebot 21'!$G$34&gt;0,2,"")</f>
        <v>2</v>
      </c>
      <c r="I45" s="248" t="str">
        <f>IF('Aufgebot 21'!$G$34=3,3,"")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21'!$G$34&gt;0,1,"")</f>
        <v>1</v>
      </c>
      <c r="H48" s="249">
        <f>IF('Aufgebot 21'!$G$34&gt;0,2,"")</f>
        <v>2</v>
      </c>
      <c r="I48" s="248" t="str">
        <f>IF('Aufgebot 21'!$G$34=3,3,"")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s="1" customFormat="1" ht="21" customHeight="1" thickBot="1">
      <c r="A55" s="1264" t="s">
        <v>117</v>
      </c>
      <c r="B55" s="1265"/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7"/>
      <c r="R55" s="1268" t="s">
        <v>130</v>
      </c>
      <c r="S55" s="1266"/>
      <c r="T55" s="1266"/>
      <c r="U55" s="1266"/>
      <c r="V55" s="1266"/>
      <c r="W55" s="1266"/>
      <c r="X55" s="1266"/>
      <c r="Y55" s="1266"/>
      <c r="Z55" s="1266"/>
      <c r="AA55" s="1266"/>
      <c r="AB55" s="1266"/>
      <c r="AC55" s="1266"/>
      <c r="AD55" s="1266"/>
      <c r="AE55" s="1266"/>
      <c r="AF55" s="1266"/>
      <c r="AG55" s="1266"/>
      <c r="AH55" s="1266"/>
      <c r="AI55" s="1266"/>
      <c r="AJ55" s="1267"/>
    </row>
    <row r="56" spans="1:36" s="1" customFormat="1" ht="21" customHeight="1" thickBot="1">
      <c r="A56" s="1264" t="s">
        <v>131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132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ht="14.25" customHeight="1">
      <c r="A57" s="1248" t="s">
        <v>246</v>
      </c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1250"/>
      <c r="Y57" s="1239" t="s">
        <v>342</v>
      </c>
      <c r="Z57" s="1240"/>
      <c r="AA57" s="1240"/>
      <c r="AB57" s="1240"/>
      <c r="AC57" s="1240"/>
      <c r="AD57" s="1241"/>
      <c r="AE57" s="1230">
        <f ca="1">TODAY()</f>
        <v>45897</v>
      </c>
      <c r="AF57" s="1231"/>
      <c r="AG57" s="1231"/>
      <c r="AH57" s="1231"/>
      <c r="AI57" s="1231"/>
      <c r="AJ57" s="1232"/>
    </row>
    <row r="58" spans="1:36" ht="18" customHeight="1">
      <c r="A58" s="1254"/>
      <c r="B58" s="1255"/>
      <c r="C58" s="1255"/>
      <c r="D58" s="1255"/>
      <c r="E58" s="1255"/>
      <c r="F58" s="1255"/>
      <c r="G58" s="1255"/>
      <c r="H58" s="1255"/>
      <c r="I58" s="1255"/>
      <c r="J58" s="1255"/>
      <c r="K58" s="1255"/>
      <c r="L58" s="1255"/>
      <c r="M58" s="1255"/>
      <c r="N58" s="1255"/>
      <c r="O58" s="1255"/>
      <c r="P58" s="1255"/>
      <c r="Q58" s="1255"/>
      <c r="R58" s="1255"/>
      <c r="S58" s="1255"/>
      <c r="T58" s="1255"/>
      <c r="U58" s="1255"/>
      <c r="V58" s="1255"/>
      <c r="W58" s="1255"/>
      <c r="X58" s="1256"/>
      <c r="Y58" s="1245"/>
      <c r="Z58" s="1246"/>
      <c r="AA58" s="1246"/>
      <c r="AB58" s="1246"/>
      <c r="AC58" s="1246"/>
      <c r="AD58" s="1247"/>
      <c r="AE58" s="1236"/>
      <c r="AF58" s="1237"/>
      <c r="AG58" s="1237"/>
      <c r="AH58" s="1237"/>
      <c r="AI58" s="1237"/>
      <c r="AJ58" s="1238"/>
    </row>
  </sheetData>
  <mergeCells count="88">
    <mergeCell ref="A55:Q55"/>
    <mergeCell ref="R55:AJ55"/>
    <mergeCell ref="A56:Q56"/>
    <mergeCell ref="R56:AJ56"/>
    <mergeCell ref="A57:X58"/>
    <mergeCell ref="Y57:AD58"/>
    <mergeCell ref="AE57:AJ58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M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21'!Y5+1</f>
        <v>22</v>
      </c>
      <c r="Z5" s="394"/>
      <c r="AA5" s="396"/>
      <c r="AC5" s="156"/>
      <c r="AD5" s="265"/>
      <c r="AE5" s="172"/>
    </row>
    <row r="6" spans="1:33" ht="9" customHeight="1" thickBot="1">
      <c r="A6" s="363">
        <f>Eigaben!F55</f>
        <v>44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Eigaben!G55</f>
        <v>60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Oberentfelden  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Schlieren ( NLB O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Christian Suter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Fritschi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Aeppenhaldenstr 3b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079 476 04 32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079 602 18 32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christian.suter@faustballcenter.ch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maenner@faustballschlieren.ch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Eigaben!C55</f>
        <v>22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429" t="s">
        <v>6</v>
      </c>
      <c r="M14" s="1429"/>
      <c r="N14" s="1429"/>
      <c r="O14" s="1429"/>
      <c r="P14" s="1429"/>
      <c r="Q14" s="1429"/>
      <c r="R14" s="1429"/>
      <c r="S14" s="1429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IF(Eigaben!D55=0,"",VLOOKUP(C13,Eigaben!$C$28:$V$109,13,0))</f>
        <v>45835</v>
      </c>
      <c r="B15" s="1199"/>
      <c r="C15" s="1199"/>
      <c r="D15" s="1199"/>
      <c r="E15" s="1199"/>
      <c r="F15" s="1199"/>
      <c r="G15" s="1194">
        <f>IF(Eigaben!D55=0,"",VLOOKUP(C13,Eigaben!$C$28:$V$110,14,0))</f>
        <v>0.8125</v>
      </c>
      <c r="H15" s="1194"/>
      <c r="I15" s="1194"/>
      <c r="J15" s="1194"/>
      <c r="K15" s="1194"/>
      <c r="L15" s="1195" t="str">
        <f>IF(Eigaben!D55=0,"",VLOOKUP(C13,Eigaben!$C$28:$V$1110,15,0))</f>
        <v>Oberentfelde</v>
      </c>
      <c r="M15" s="1196"/>
      <c r="N15" s="1196"/>
      <c r="O15" s="1196"/>
      <c r="P15" s="1196"/>
      <c r="Q15" s="1196"/>
      <c r="R15" s="1196"/>
      <c r="S15" s="1197"/>
      <c r="T15" s="1195" t="str">
        <f>IF(Eigaben!D55=0,"",VLOOKUP(C13,Eigaben!$C$28:$V$110,16,0))</f>
        <v>Erlenweg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Eigaben!T55</f>
        <v>95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39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39" ht="6" customHeight="1">
      <c r="A18" s="121"/>
      <c r="AA18" s="118"/>
      <c r="AC18" s="398"/>
      <c r="AD18" s="398"/>
    </row>
    <row r="19" spans="1:39" ht="18" customHeight="1">
      <c r="A19" s="1361" t="str">
        <f>IF(C16=0,"",VLOOKUP(C16,Schiri_25!A2:L181,3,1)&amp;" "&amp;VLOOKUP(C16,Schiri_25!A2:L181,2,1))</f>
        <v>Luca Hochuli</v>
      </c>
      <c r="B19" s="1362"/>
      <c r="C19" s="1362"/>
      <c r="D19" s="1362"/>
      <c r="E19" s="1362"/>
      <c r="F19" s="1363"/>
      <c r="G19" s="860" t="str">
        <f>IF(C16=0,"",VLOOKUP(C16,Schiri_25!A2:L181,9,1))</f>
        <v>076 247 29 07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062 726 30 06</v>
      </c>
      <c r="N19" s="1408"/>
      <c r="O19" s="1408"/>
      <c r="P19" s="1408"/>
      <c r="Q19" s="902"/>
      <c r="R19" s="1430" t="str">
        <f>IF(C16=0,"",VLOOKUP(C16,Schiri_25!A2:L181,12,1))</f>
        <v>lucahochuli261@gmail.com</v>
      </c>
      <c r="S19" s="1431"/>
      <c r="T19" s="1431"/>
      <c r="U19" s="1431"/>
      <c r="V19" s="1431"/>
      <c r="W19" s="1431"/>
      <c r="X19" s="1431"/>
      <c r="Y19" s="1431"/>
      <c r="Z19" s="1431"/>
      <c r="AA19" s="1432"/>
      <c r="AC19" s="398"/>
      <c r="AD19" s="398"/>
      <c r="AG19" s="184"/>
    </row>
    <row r="20" spans="1:39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39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72"/>
      <c r="AD21" s="183"/>
    </row>
    <row r="22" spans="1:39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39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39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39" ht="14">
      <c r="A25" s="1139" t="s">
        <v>163</v>
      </c>
      <c r="B25" s="1117"/>
      <c r="C25" s="1117"/>
      <c r="D25" s="169" t="s">
        <v>236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39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39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Eigaben!V55</f>
        <v>17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39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39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39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39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39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Eigaben!S55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P32:AA32"/>
    <mergeCell ref="E32:O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219" priority="20" stopIfTrue="1" operator="greaterThan">
      <formula>$C$41</formula>
    </cfRule>
  </conditionalFormatting>
  <conditionalFormatting sqref="C41">
    <cfRule type="cellIs" dxfId="218" priority="10" stopIfTrue="1" operator="greaterThan">
      <formula>$A$41</formula>
    </cfRule>
    <cfRule type="cellIs" dxfId="217" priority="11" stopIfTrue="1" operator="greaterThan">
      <formula>$A$41</formula>
    </cfRule>
  </conditionalFormatting>
  <conditionalFormatting sqref="D41">
    <cfRule type="cellIs" dxfId="216" priority="19" stopIfTrue="1" operator="greaterThan">
      <formula>$F$41</formula>
    </cfRule>
  </conditionalFormatting>
  <conditionalFormatting sqref="F41">
    <cfRule type="cellIs" dxfId="215" priority="9" stopIfTrue="1" operator="greaterThan">
      <formula>$D$41</formula>
    </cfRule>
  </conditionalFormatting>
  <conditionalFormatting sqref="G41">
    <cfRule type="cellIs" dxfId="214" priority="18" stopIfTrue="1" operator="greaterThan">
      <formula>$I$41</formula>
    </cfRule>
  </conditionalFormatting>
  <conditionalFormatting sqref="I41">
    <cfRule type="cellIs" dxfId="213" priority="8" stopIfTrue="1" operator="greaterThan">
      <formula>$G$41</formula>
    </cfRule>
  </conditionalFormatting>
  <conditionalFormatting sqref="J41">
    <cfRule type="cellIs" dxfId="212" priority="17" stopIfTrue="1" operator="greaterThan">
      <formula>$L$41</formula>
    </cfRule>
  </conditionalFormatting>
  <conditionalFormatting sqref="L41">
    <cfRule type="cellIs" dxfId="211" priority="7" stopIfTrue="1" operator="greaterThan">
      <formula>$J$41</formula>
    </cfRule>
  </conditionalFormatting>
  <conditionalFormatting sqref="M41">
    <cfRule type="cellIs" dxfId="210" priority="16" stopIfTrue="1" operator="greaterThan">
      <formula>$O$41</formula>
    </cfRule>
  </conditionalFormatting>
  <conditionalFormatting sqref="O41">
    <cfRule type="cellIs" dxfId="209" priority="6" stopIfTrue="1" operator="greaterThan">
      <formula>$M$41</formula>
    </cfRule>
  </conditionalFormatting>
  <conditionalFormatting sqref="P41">
    <cfRule type="cellIs" dxfId="208" priority="15" stopIfTrue="1" operator="greaterThan">
      <formula>$R$41</formula>
    </cfRule>
  </conditionalFormatting>
  <conditionalFormatting sqref="R41">
    <cfRule type="cellIs" dxfId="207" priority="5" stopIfTrue="1" operator="greaterThan">
      <formula>$P$41</formula>
    </cfRule>
  </conditionalFormatting>
  <conditionalFormatting sqref="S41">
    <cfRule type="cellIs" dxfId="206" priority="14" stopIfTrue="1" operator="greaterThan">
      <formula>$U$41</formula>
    </cfRule>
  </conditionalFormatting>
  <conditionalFormatting sqref="U41">
    <cfRule type="cellIs" dxfId="205" priority="1" stopIfTrue="1" operator="greaterThan">
      <formula>$S$41</formula>
    </cfRule>
    <cfRule type="cellIs" dxfId="204" priority="4" stopIfTrue="1" operator="greaterThan">
      <formula>$U$41</formula>
    </cfRule>
  </conditionalFormatting>
  <conditionalFormatting sqref="V41">
    <cfRule type="cellIs" dxfId="203" priority="13" stopIfTrue="1" operator="greaterThan">
      <formula>$X$41</formula>
    </cfRule>
  </conditionalFormatting>
  <conditionalFormatting sqref="X41">
    <cfRule type="cellIs" dxfId="202" priority="3" stopIfTrue="1" operator="greaterThan">
      <formula>$V$41</formula>
    </cfRule>
  </conditionalFormatting>
  <conditionalFormatting sqref="Y41">
    <cfRule type="cellIs" dxfId="201" priority="12" stopIfTrue="1" operator="greaterThan">
      <formula>$AA$41</formula>
    </cfRule>
  </conditionalFormatting>
  <conditionalFormatting sqref="AA41">
    <cfRule type="cellIs" dxfId="200" priority="2" stopIfTrue="1" operator="greaterThan">
      <formula>$Y$41</formula>
    </cfRule>
  </conditionalFormatting>
  <hyperlinks>
    <hyperlink ref="R45" r:id="rId1" display="pabst@swissfaustball.ch" xr:uid="{00000000-0004-0000-37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20'!A5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20'!L15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22'!Y5</f>
        <v>22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22'!A8</f>
        <v>STV Oberentfelden   ( 2. Liga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22'!O8</f>
        <v>STV Schlieren ( NLB O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22'!A19&amp;" "&amp;'Aufgebot 20'!G19</f>
        <v>Luca Hochuli +41 79 473 61 88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416" t="str">
        <f>'Aufgebot 22'!A9</f>
        <v>Christian Suter</v>
      </c>
      <c r="AC23" s="1416"/>
      <c r="AD23" s="1416"/>
      <c r="AE23" s="1416"/>
      <c r="AF23" s="1416"/>
      <c r="AG23" s="1416"/>
      <c r="AH23" s="1416"/>
      <c r="AI23" s="1416"/>
      <c r="AJ23" s="1417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22'!$G$34&gt;0,1,"")</f>
        <v>1</v>
      </c>
      <c r="H30" s="249">
        <f>IF('Aufgebot 22'!$G$34&gt;0,2,"")</f>
        <v>2</v>
      </c>
      <c r="I30" s="249">
        <f>IF('Aufgebot 22'!$G$34=3,3,"")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22'!$G$34&gt;0,1,"")</f>
        <v>1</v>
      </c>
      <c r="H32" s="249">
        <f>IF('Aufgebot 22'!$G$34&gt;0,2,"")</f>
        <v>2</v>
      </c>
      <c r="I32" s="249">
        <f>IF('Aufgebot 22'!$G$34=3,3,"")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22'!$G$34&gt;0,1,"")</f>
        <v>1</v>
      </c>
      <c r="H34" s="249">
        <f>IF('Aufgebot 22'!$G$34&gt;0,2,"")</f>
        <v>2</v>
      </c>
      <c r="I34" s="249">
        <f>IF('Aufgebot 22'!$G$34=3,3,"")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22'!$G$34&gt;0,1,"")</f>
        <v>1</v>
      </c>
      <c r="H36" s="249">
        <f>IF('Aufgebot 22'!$G$34&gt;0,2,"")</f>
        <v>2</v>
      </c>
      <c r="I36" s="249">
        <f>IF('Aufgebot 22'!$G$34=3,3,"")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22'!$G$34&gt;0,1,"")</f>
        <v>1</v>
      </c>
      <c r="H39" s="249">
        <f>IF('Aufgebot 22'!$G$34&gt;0,2,"")</f>
        <v>2</v>
      </c>
      <c r="I39" s="249">
        <f>IF('Aufgebot 22'!$G$34=3,3,"")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22'!$G$34&gt;0,1,"")</f>
        <v>1</v>
      </c>
      <c r="H41" s="249">
        <f>IF('Aufgebot 22'!$G$34&gt;0,2,"")</f>
        <v>2</v>
      </c>
      <c r="I41" s="249">
        <f>IF('Aufgebot 22'!$G$34=3,3,"")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22'!$G$34&gt;0,1,"")</f>
        <v>1</v>
      </c>
      <c r="H43" s="249">
        <f>IF('Aufgebot 22'!$G$34&gt;0,2,"")</f>
        <v>2</v>
      </c>
      <c r="I43" s="249">
        <f>IF('Aufgebot 22'!$G$34=3,3,"")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22'!$G$34&gt;0,1,"")</f>
        <v>1</v>
      </c>
      <c r="H45" s="249">
        <f>IF('Aufgebot 22'!$G$34&gt;0,2,"")</f>
        <v>2</v>
      </c>
      <c r="I45" s="249">
        <f>IF('Aufgebot 22'!$G$34=3,3,"")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22'!$G$34&gt;0,1,"")</f>
        <v>1</v>
      </c>
      <c r="H48" s="249">
        <f>IF('Aufgebot 22'!$G$34&gt;0,2,"")</f>
        <v>2</v>
      </c>
      <c r="I48" s="249">
        <f>IF('Aufgebot 22'!$G$34=3,3,"")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Q54"/>
  <sheetViews>
    <sheetView workbookViewId="0">
      <selection activeCell="R19" sqref="R19:AI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230">
        <v>3</v>
      </c>
      <c r="D2" t="str">
        <f>VLOOKUP(A2,Eigaben!Y8:AC14,5,0)</f>
        <v>1/8 Final</v>
      </c>
      <c r="F2" s="371"/>
      <c r="I2">
        <v>2</v>
      </c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22'!Y5+1</f>
        <v>23</v>
      </c>
      <c r="Z5" s="394"/>
      <c r="AA5" s="396"/>
      <c r="AC5" s="156"/>
      <c r="AD5" s="265"/>
      <c r="AE5" s="172"/>
    </row>
    <row r="6" spans="1:33" ht="9" customHeight="1" thickBot="1">
      <c r="A6" s="363">
        <f>Eigaben!F56</f>
        <v>48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6">
        <f>Eigaben!G56</f>
        <v>69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Alpnach  ( 1. Liga ) W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Rickenbach-Wilen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Kasper Tobias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Jonas Hess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Schneggenhubel 5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6064 Kerns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 xml:space="preserve"> 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 xml:space="preserve">   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079 713 39 48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079 900 69 17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m.bucher@hs-team.ch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spiko@fgriwi.ch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Eigaben!C56</f>
        <v>23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IF(Eigaben!C56=0,"",VLOOKUP(C13,Eigaben!$C$28:$V$109,13,0))</f>
        <v>45834</v>
      </c>
      <c r="B15" s="1199"/>
      <c r="C15" s="1199"/>
      <c r="D15" s="1199"/>
      <c r="E15" s="1199"/>
      <c r="F15" s="1199"/>
      <c r="G15" s="1194">
        <f>IF(Eigaben!C56=0,"",VLOOKUP(C13,Eigaben!$C$28:$V$110,14,0))</f>
        <v>0.8125</v>
      </c>
      <c r="H15" s="1194"/>
      <c r="I15" s="1194"/>
      <c r="J15" s="1194"/>
      <c r="K15" s="1194"/>
      <c r="L15" s="1195" t="str">
        <f>IF(Eigaben!C56=0,"",VLOOKUP(C13,Eigaben!$C$28:$V$110,15,0))</f>
        <v>Alpnach</v>
      </c>
      <c r="M15" s="1196"/>
      <c r="N15" s="1196"/>
      <c r="O15" s="1196"/>
      <c r="P15" s="1196"/>
      <c r="Q15" s="1196"/>
      <c r="R15" s="1196"/>
      <c r="S15" s="1197"/>
      <c r="T15" s="1195" t="str">
        <f>IF(Eigaben!C56=0,"",VLOOKUP(C13,Eigaben!$C$28:$V$110,16,0))</f>
        <v>Sportplatz Giswil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359">
        <f>Eigaben!T56</f>
        <v>63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Peter Leu</v>
      </c>
      <c r="B19" s="1362"/>
      <c r="C19" s="1362"/>
      <c r="D19" s="1362"/>
      <c r="E19" s="1362"/>
      <c r="F19" s="1363"/>
      <c r="G19" s="860" t="str">
        <f>IF(C16=0,"",VLOOKUP(C16,Schiri_25!A2:L181,9,1))</f>
        <v>+41 79 445 11 16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130" t="str">
        <f>IF(C16=0,"",VLOOKUP(C16,Schiri_25!A2:L181,12,1))</f>
        <v>peterleu61@bluewin.ch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Eigaben!V56</f>
        <v>30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Eigaben!S56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P32:AA32"/>
    <mergeCell ref="E32:O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199" priority="20" stopIfTrue="1" operator="greaterThan">
      <formula>$C$41</formula>
    </cfRule>
  </conditionalFormatting>
  <conditionalFormatting sqref="C41">
    <cfRule type="cellIs" dxfId="198" priority="10" stopIfTrue="1" operator="greaterThan">
      <formula>$A$41</formula>
    </cfRule>
    <cfRule type="cellIs" dxfId="197" priority="11" stopIfTrue="1" operator="greaterThan">
      <formula>$A$41</formula>
    </cfRule>
  </conditionalFormatting>
  <conditionalFormatting sqref="D41">
    <cfRule type="cellIs" dxfId="196" priority="19" stopIfTrue="1" operator="greaterThan">
      <formula>$F$41</formula>
    </cfRule>
  </conditionalFormatting>
  <conditionalFormatting sqref="F41">
    <cfRule type="cellIs" dxfId="195" priority="9" stopIfTrue="1" operator="greaterThan">
      <formula>$D$41</formula>
    </cfRule>
  </conditionalFormatting>
  <conditionalFormatting sqref="G41">
    <cfRule type="cellIs" dxfId="194" priority="18" stopIfTrue="1" operator="greaterThan">
      <formula>$I$41</formula>
    </cfRule>
  </conditionalFormatting>
  <conditionalFormatting sqref="I41">
    <cfRule type="cellIs" dxfId="193" priority="8" stopIfTrue="1" operator="greaterThan">
      <formula>$G$41</formula>
    </cfRule>
  </conditionalFormatting>
  <conditionalFormatting sqref="J41">
    <cfRule type="cellIs" dxfId="192" priority="17" stopIfTrue="1" operator="greaterThan">
      <formula>$L$41</formula>
    </cfRule>
  </conditionalFormatting>
  <conditionalFormatting sqref="L41">
    <cfRule type="cellIs" dxfId="191" priority="7" stopIfTrue="1" operator="greaterThan">
      <formula>$J$41</formula>
    </cfRule>
  </conditionalFormatting>
  <conditionalFormatting sqref="M41">
    <cfRule type="cellIs" dxfId="190" priority="16" stopIfTrue="1" operator="greaterThan">
      <formula>$O$41</formula>
    </cfRule>
  </conditionalFormatting>
  <conditionalFormatting sqref="O41">
    <cfRule type="cellIs" dxfId="189" priority="6" stopIfTrue="1" operator="greaterThan">
      <formula>$M$41</formula>
    </cfRule>
  </conditionalFormatting>
  <conditionalFormatting sqref="P41">
    <cfRule type="cellIs" dxfId="188" priority="15" stopIfTrue="1" operator="greaterThan">
      <formula>$R$41</formula>
    </cfRule>
  </conditionalFormatting>
  <conditionalFormatting sqref="R41">
    <cfRule type="cellIs" dxfId="187" priority="5" stopIfTrue="1" operator="greaterThan">
      <formula>$P$41</formula>
    </cfRule>
  </conditionalFormatting>
  <conditionalFormatting sqref="S41">
    <cfRule type="cellIs" dxfId="186" priority="14" stopIfTrue="1" operator="greaterThan">
      <formula>$U$41</formula>
    </cfRule>
  </conditionalFormatting>
  <conditionalFormatting sqref="U41">
    <cfRule type="cellIs" dxfId="185" priority="1" stopIfTrue="1" operator="greaterThan">
      <formula>$S$41</formula>
    </cfRule>
    <cfRule type="cellIs" dxfId="184" priority="4" stopIfTrue="1" operator="greaterThan">
      <formula>$U$41</formula>
    </cfRule>
  </conditionalFormatting>
  <conditionalFormatting sqref="V41">
    <cfRule type="cellIs" dxfId="183" priority="13" stopIfTrue="1" operator="greaterThan">
      <formula>$X$41</formula>
    </cfRule>
  </conditionalFormatting>
  <conditionalFormatting sqref="X41">
    <cfRule type="cellIs" dxfId="182" priority="3" stopIfTrue="1" operator="greaterThan">
      <formula>$V$41</formula>
    </cfRule>
  </conditionalFormatting>
  <conditionalFormatting sqref="Y41">
    <cfRule type="cellIs" dxfId="181" priority="12" stopIfTrue="1" operator="greaterThan">
      <formula>$AA$41</formula>
    </cfRule>
  </conditionalFormatting>
  <conditionalFormatting sqref="AA41">
    <cfRule type="cellIs" dxfId="180" priority="2" stopIfTrue="1" operator="greaterThan">
      <formula>$Y$41</formula>
    </cfRule>
  </conditionalFormatting>
  <hyperlinks>
    <hyperlink ref="R45" r:id="rId1" display="pabst@swissfaustball.ch" xr:uid="{00000000-0004-0000-39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10.81640625" defaultRowHeight="12.5"/>
  <sheetData/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20'!A5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20'!L15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23'!Y5</f>
        <v>23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23'!A8</f>
        <v>STV Alpnach  ( 1. Liga ) W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23'!O8</f>
        <v>FG Rickenbach-Wilen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23'!A19&amp;" "&amp;'Aufgebot 23'!G19</f>
        <v>Peter Leu +41 79 445 11 16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416" t="str">
        <f>'Aufgebot 23'!A9</f>
        <v>Kasper Tobias</v>
      </c>
      <c r="AC23" s="1416"/>
      <c r="AD23" s="1416"/>
      <c r="AE23" s="1416"/>
      <c r="AF23" s="1416"/>
      <c r="AG23" s="1416"/>
      <c r="AH23" s="1416"/>
      <c r="AI23" s="1416"/>
      <c r="AJ23" s="1417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23'!$G$34&gt;0,1,"")</f>
        <v>1</v>
      </c>
      <c r="H30" s="249">
        <f>IF('Aufgebot 23'!$G$34&gt;0,2,"")</f>
        <v>2</v>
      </c>
      <c r="I30" s="249">
        <f>IF('Aufgebot 23'!$G$34=3,3,"")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IF('Aufgebot 23'!$G$34&gt;0,1,"")</f>
        <v>1</v>
      </c>
      <c r="H32" s="249">
        <f>IF('Aufgebot 23'!$G$34&gt;0,2,"")</f>
        <v>2</v>
      </c>
      <c r="I32" s="249">
        <f>IF('Aufgebot 23'!$G$34=3,3,"")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IF('Aufgebot 23'!$G$34&gt;0,1,"")</f>
        <v>1</v>
      </c>
      <c r="H34" s="249">
        <f>IF('Aufgebot 23'!$G$34&gt;0,2,"")</f>
        <v>2</v>
      </c>
      <c r="I34" s="249">
        <f>IF('Aufgebot 23'!$G$34=3,3,"")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IF('Aufgebot 23'!$G$34&gt;0,1,"")</f>
        <v>1</v>
      </c>
      <c r="H36" s="249">
        <f>IF('Aufgebot 23'!$G$34&gt;0,2,"")</f>
        <v>2</v>
      </c>
      <c r="I36" s="249">
        <f>IF('Aufgebot 23'!$G$34=3,3,"")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IF('Aufgebot 23'!$G$34&gt;0,1,"")</f>
        <v>1</v>
      </c>
      <c r="H39" s="249">
        <f>IF('Aufgebot 23'!$G$34&gt;0,2,"")</f>
        <v>2</v>
      </c>
      <c r="I39" s="249">
        <f>IF('Aufgebot 23'!$G$34=3,3,"")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IF('Aufgebot 23'!$G$34&gt;0,1,"")</f>
        <v>1</v>
      </c>
      <c r="H41" s="249">
        <f>IF('Aufgebot 23'!$G$34&gt;0,2,"")</f>
        <v>2</v>
      </c>
      <c r="I41" s="249">
        <f>IF('Aufgebot 23'!$G$34=3,3,"")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IF('Aufgebot 23'!$G$34&gt;0,1,"")</f>
        <v>1</v>
      </c>
      <c r="H43" s="249">
        <f>IF('Aufgebot 23'!$G$34&gt;0,2,"")</f>
        <v>2</v>
      </c>
      <c r="I43" s="249">
        <f>IF('Aufgebot 23'!$G$34=3,3,"")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IF('Aufgebot 23'!$G$34&gt;0,1,"")</f>
        <v>1</v>
      </c>
      <c r="H45" s="249">
        <f>IF('Aufgebot 23'!$G$34&gt;0,2,"")</f>
        <v>2</v>
      </c>
      <c r="I45" s="249">
        <f>IF('Aufgebot 23'!$G$34=3,3,"")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IF('Aufgebot 23'!$G$34&gt;0,1,"")</f>
        <v>1</v>
      </c>
      <c r="H48" s="249">
        <f>IF('Aufgebot 23'!$G$34&gt;0,2,"")</f>
        <v>2</v>
      </c>
      <c r="I48" s="249">
        <f>IF('Aufgebot 23'!$G$34=3,3,"")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Q54"/>
  <sheetViews>
    <sheetView workbookViewId="0">
      <selection activeCell="AD41" sqref="AD41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3</v>
      </c>
      <c r="D2" s="503" t="str">
        <f>VLOOKUP(A2,Eigaben!Y8:AC14,5,0)</f>
        <v>1/8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1/8 Final</v>
      </c>
      <c r="B5" s="1370"/>
      <c r="C5" s="1370"/>
      <c r="D5" s="1370"/>
      <c r="E5" s="1371"/>
      <c r="F5" s="1211">
        <f>VLOOKUP($A$2,Eigaben!$Y$8:$AC$14,2,1)</f>
        <v>45831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45856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23'!Y5+1</f>
        <v>24</v>
      </c>
      <c r="Z5" s="394"/>
      <c r="AA5" s="396"/>
      <c r="AC5" s="156"/>
      <c r="AD5" s="265"/>
      <c r="AE5" s="172"/>
    </row>
    <row r="6" spans="1:33" ht="9" customHeight="1" thickBot="1">
      <c r="A6" s="506">
        <f>Eigaben!F57</f>
        <v>47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Eigaben!G57</f>
        <v>66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 xml:space="preserve">TV Widnau ( 2. Liga F ) 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Elgg-Ettenhausen 1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Jerome Sepin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Markus Fehr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Hintergasse 3a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8353 Elgg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079 929 89 85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078 613 39 28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jerome.sepin@gmail.com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fehr.markus@bluewin.ch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Eigaben!C57</f>
        <v>24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IF(Eigaben!C57=0,"",VLOOKUP(C13,Eigaben!$C$28:$V$109,13,0))</f>
        <v>45862</v>
      </c>
      <c r="B15" s="1199"/>
      <c r="C15" s="1199"/>
      <c r="D15" s="1199"/>
      <c r="E15" s="1199"/>
      <c r="F15" s="1199"/>
      <c r="G15" s="1194">
        <f>IF(Eigaben!D54=0,"",VLOOKUP(C13,Eigaben!$C$28:$V$110,14,0))</f>
        <v>0.77083333333333337</v>
      </c>
      <c r="H15" s="1194"/>
      <c r="I15" s="1194"/>
      <c r="J15" s="1194"/>
      <c r="K15" s="1194"/>
      <c r="L15" s="1195" t="str">
        <f>IF(Eigaben!D54=0,"",VLOOKUP(C13,Eigaben!$C$28:$V$1110,15,0))</f>
        <v>Widnau</v>
      </c>
      <c r="M15" s="1196"/>
      <c r="N15" s="1196"/>
      <c r="O15" s="1196"/>
      <c r="P15" s="1196"/>
      <c r="Q15" s="1196"/>
      <c r="R15" s="1196"/>
      <c r="S15" s="1197"/>
      <c r="T15" s="1195" t="str">
        <f>IF(Eigaben!D54=0,"",VLOOKUP(C13,Eigaben!$C$28:$V$110,16,0))</f>
        <v>Rest Habsburg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Eigaben!T57</f>
        <v>11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Richard Meyerhans</v>
      </c>
      <c r="B19" s="1362"/>
      <c r="C19" s="1362"/>
      <c r="D19" s="1362"/>
      <c r="E19" s="1362"/>
      <c r="F19" s="1363"/>
      <c r="G19" s="860" t="str">
        <f>IF(C16=0,"",VLOOKUP(C16,Schiri_25!A2:L181,9,1))</f>
        <v>+41 79 748 52 87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richi4fistball@bluewin.ch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0.76041666666666674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Eigaben!V57</f>
        <v>13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Eigaben!S57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179" priority="20" stopIfTrue="1" operator="greaterThan">
      <formula>$C$41</formula>
    </cfRule>
  </conditionalFormatting>
  <conditionalFormatting sqref="C41">
    <cfRule type="cellIs" dxfId="178" priority="10" stopIfTrue="1" operator="greaterThan">
      <formula>$A$41</formula>
    </cfRule>
    <cfRule type="cellIs" dxfId="177" priority="11" stopIfTrue="1" operator="greaterThan">
      <formula>$A$41</formula>
    </cfRule>
  </conditionalFormatting>
  <conditionalFormatting sqref="D41">
    <cfRule type="cellIs" dxfId="176" priority="19" stopIfTrue="1" operator="greaterThan">
      <formula>$F$41</formula>
    </cfRule>
  </conditionalFormatting>
  <conditionalFormatting sqref="F41">
    <cfRule type="cellIs" dxfId="175" priority="9" stopIfTrue="1" operator="greaterThan">
      <formula>$D$41</formula>
    </cfRule>
  </conditionalFormatting>
  <conditionalFormatting sqref="G41">
    <cfRule type="cellIs" dxfId="174" priority="18" stopIfTrue="1" operator="greaterThan">
      <formula>$I$41</formula>
    </cfRule>
  </conditionalFormatting>
  <conditionalFormatting sqref="I41">
    <cfRule type="cellIs" dxfId="173" priority="8" stopIfTrue="1" operator="greaterThan">
      <formula>$G$41</formula>
    </cfRule>
  </conditionalFormatting>
  <conditionalFormatting sqref="J41">
    <cfRule type="cellIs" dxfId="172" priority="17" stopIfTrue="1" operator="greaterThan">
      <formula>$L$41</formula>
    </cfRule>
  </conditionalFormatting>
  <conditionalFormatting sqref="L41">
    <cfRule type="cellIs" dxfId="171" priority="7" stopIfTrue="1" operator="greaterThan">
      <formula>$J$41</formula>
    </cfRule>
  </conditionalFormatting>
  <conditionalFormatting sqref="M41">
    <cfRule type="cellIs" dxfId="170" priority="16" stopIfTrue="1" operator="greaterThan">
      <formula>$O$41</formula>
    </cfRule>
  </conditionalFormatting>
  <conditionalFormatting sqref="O41">
    <cfRule type="cellIs" dxfId="169" priority="6" stopIfTrue="1" operator="greaterThan">
      <formula>$M$41</formula>
    </cfRule>
  </conditionalFormatting>
  <conditionalFormatting sqref="P41">
    <cfRule type="cellIs" dxfId="168" priority="15" stopIfTrue="1" operator="greaterThan">
      <formula>$R$41</formula>
    </cfRule>
  </conditionalFormatting>
  <conditionalFormatting sqref="R41">
    <cfRule type="cellIs" dxfId="167" priority="5" stopIfTrue="1" operator="greaterThan">
      <formula>$P$41</formula>
    </cfRule>
  </conditionalFormatting>
  <conditionalFormatting sqref="S41">
    <cfRule type="cellIs" dxfId="166" priority="14" stopIfTrue="1" operator="greaterThan">
      <formula>$U$41</formula>
    </cfRule>
  </conditionalFormatting>
  <conditionalFormatting sqref="U41">
    <cfRule type="cellIs" dxfId="165" priority="1" stopIfTrue="1" operator="greaterThan">
      <formula>$S$41</formula>
    </cfRule>
    <cfRule type="cellIs" dxfId="164" priority="4" stopIfTrue="1" operator="greaterThan">
      <formula>$U$41</formula>
    </cfRule>
  </conditionalFormatting>
  <conditionalFormatting sqref="V41">
    <cfRule type="cellIs" dxfId="163" priority="13" stopIfTrue="1" operator="greaterThan">
      <formula>$X$41</formula>
    </cfRule>
  </conditionalFormatting>
  <conditionalFormatting sqref="X41">
    <cfRule type="cellIs" dxfId="162" priority="3" stopIfTrue="1" operator="greaterThan">
      <formula>$V$41</formula>
    </cfRule>
  </conditionalFormatting>
  <conditionalFormatting sqref="Y41">
    <cfRule type="cellIs" dxfId="161" priority="12" stopIfTrue="1" operator="greaterThan">
      <formula>$AA$41</formula>
    </cfRule>
  </conditionalFormatting>
  <conditionalFormatting sqref="AA41">
    <cfRule type="cellIs" dxfId="160" priority="2" stopIfTrue="1" operator="greaterThan">
      <formula>$Y$41</formula>
    </cfRule>
  </conditionalFormatting>
  <hyperlinks>
    <hyperlink ref="R45" r:id="rId1" display="pabst@swissfaustball.ch" xr:uid="{00000000-0004-0000-3B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11"/>
  </sheetPr>
  <dimension ref="A1:AN60"/>
  <sheetViews>
    <sheetView workbookViewId="0">
      <selection activeCell="R19" sqref="R19:AI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20'!A5</f>
        <v>1/8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20'!L15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24'!Y5</f>
        <v>24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359" t="str">
        <f>'Aufgebot 24'!A8</f>
        <v xml:space="preserve">TV Widnau ( 2. Liga F ) </v>
      </c>
      <c r="H8" s="1359"/>
      <c r="I8" s="1359"/>
      <c r="J8" s="1359"/>
      <c r="K8" s="1359"/>
      <c r="L8" s="1359"/>
      <c r="M8" s="1359"/>
      <c r="N8" s="1359"/>
      <c r="O8" s="1359"/>
      <c r="P8" s="1359"/>
      <c r="Q8" s="1360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359" t="str">
        <f>'Aufgebot 24'!O8</f>
        <v>FG Elgg-Ettenhausen 1 ( NLA )</v>
      </c>
      <c r="Z8" s="1359"/>
      <c r="AA8" s="1359"/>
      <c r="AB8" s="1359"/>
      <c r="AC8" s="1359"/>
      <c r="AD8" s="1359"/>
      <c r="AE8" s="1359"/>
      <c r="AF8" s="1359"/>
      <c r="AG8" s="1359"/>
      <c r="AH8" s="1359"/>
      <c r="AI8" s="1360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826"/>
      <c r="S19" s="827"/>
      <c r="T19" s="828"/>
      <c r="U19" s="829"/>
      <c r="V19" s="830"/>
      <c r="W19" s="831" t="s">
        <v>134</v>
      </c>
      <c r="X19" s="1418" t="s">
        <v>134</v>
      </c>
      <c r="Y19" s="1419"/>
      <c r="Z19" s="1419"/>
      <c r="AA19" s="1419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24'!A19&amp;" "&amp;'Aufgebot 24'!G19</f>
        <v>Richard Meyerhans +41 79 748 52 87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24'!A9</f>
        <v>Jerome Sepin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24'!$G$34&gt;0,1,"")</f>
        <v>1</v>
      </c>
      <c r="H30" s="249">
        <f>IF('Aufgebot 24'!$G$34&gt;0,2,"")</f>
        <v>2</v>
      </c>
      <c r="I30" s="249">
        <f>IF('Aufgebot 24'!$G$34=3,3,"")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G30</f>
        <v>1</v>
      </c>
      <c r="H32" s="249">
        <f>H30</f>
        <v>2</v>
      </c>
      <c r="I32" s="249">
        <f>I30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G32</f>
        <v>1</v>
      </c>
      <c r="H34" s="249">
        <f>H32</f>
        <v>2</v>
      </c>
      <c r="I34" s="249">
        <f>I32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G34</f>
        <v>1</v>
      </c>
      <c r="H36" s="249">
        <f>H34</f>
        <v>2</v>
      </c>
      <c r="I36" s="249">
        <f>I34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G36</f>
        <v>1</v>
      </c>
      <c r="H39" s="249">
        <f>H36</f>
        <v>2</v>
      </c>
      <c r="I39" s="249">
        <f>I36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G39</f>
        <v>1</v>
      </c>
      <c r="H41" s="249">
        <f>H39</f>
        <v>2</v>
      </c>
      <c r="I41" s="249">
        <f>I39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G41</f>
        <v>1</v>
      </c>
      <c r="H43" s="249">
        <f>H41</f>
        <v>2</v>
      </c>
      <c r="I43" s="249">
        <f>I41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G43</f>
        <v>1</v>
      </c>
      <c r="H45" s="249">
        <f>H43</f>
        <v>2</v>
      </c>
      <c r="I45" s="249">
        <f>I43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G45</f>
        <v>1</v>
      </c>
      <c r="H48" s="249">
        <f>H45</f>
        <v>2</v>
      </c>
      <c r="I48" s="249">
        <f>I45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Q54"/>
  <sheetViews>
    <sheetView workbookViewId="0">
      <selection sqref="A1:AJ2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4</v>
      </c>
      <c r="D2" s="503" t="str">
        <f>VLOOKUP(A2,Eigaben!Y8:AC14,5,0)</f>
        <v>1/4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1/4 Final</v>
      </c>
      <c r="B5" s="1370"/>
      <c r="C5" s="1370"/>
      <c r="D5" s="1370"/>
      <c r="E5" s="1371"/>
      <c r="F5" s="1211">
        <f>VLOOKUP($A$2,Eigaben!$Y$8:$AC$14,2,1)</f>
        <v>45866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45884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24'!Y5+1</f>
        <v>25</v>
      </c>
      <c r="Z5" s="394"/>
      <c r="AA5" s="396"/>
      <c r="AC5" s="156"/>
      <c r="AD5" s="265"/>
      <c r="AE5" s="172"/>
    </row>
    <row r="6" spans="1:33" ht="9" customHeight="1" thickBot="1">
      <c r="A6" s="506">
        <f>Eigaben!F64</f>
        <v>56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Eigaben!G64</f>
        <v>65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TSV Jona 1( NLB O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SVD Diepoldsau-Schmitter (NLA)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Fabian Zahner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Lorena Lipp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47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9443 Widnau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076 592 09 17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076 573 09 99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tkchef@fbjona.ch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spiko@faustball-svd.clubdesk.com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Eigaben!C64</f>
        <v>9.07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IF(Eigaben!C64=0,"",VLOOKUP(C13,Eigaben!$C$28:$V$109,13,0))</f>
        <v>45852</v>
      </c>
      <c r="B15" s="1199"/>
      <c r="C15" s="1199"/>
      <c r="D15" s="1199"/>
      <c r="E15" s="1199"/>
      <c r="F15" s="1199"/>
      <c r="G15" s="1194">
        <f>IF(Eigaben!C64=0,"",VLOOKUP(C13,Eigaben!$C$28:$V$110,14,0))</f>
        <v>0.8125</v>
      </c>
      <c r="H15" s="1194"/>
      <c r="I15" s="1194"/>
      <c r="J15" s="1194"/>
      <c r="K15" s="1194"/>
      <c r="L15" s="1195" t="str">
        <f>IF(Eigaben!C64=0,"",VLOOKUP(C13,Eigaben!$C$28:$V$1110,15,0))</f>
        <v>Jona</v>
      </c>
      <c r="M15" s="1196"/>
      <c r="N15" s="1196"/>
      <c r="O15" s="1196"/>
      <c r="P15" s="1196"/>
      <c r="Q15" s="1196"/>
      <c r="R15" s="1196"/>
      <c r="S15" s="1197"/>
      <c r="T15" s="1195" t="str">
        <f>IF(Eigaben!C64=0,"",VLOOKUP(C13,Eigaben!$C$28:$V$110,16,0))</f>
        <v>Sportplatz Grünfeld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Eigaben!T64</f>
        <v>97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Sebastian Kammer</v>
      </c>
      <c r="B19" s="1362"/>
      <c r="C19" s="1362"/>
      <c r="D19" s="1362"/>
      <c r="E19" s="1362"/>
      <c r="F19" s="1363"/>
      <c r="G19" s="860" t="str">
        <f>IF(C16=0,"",VLOOKUP(C16,Schiri_25!A2:L181,9,1))</f>
        <v>079 254 36 41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364" t="str">
        <f>IF(C16=0,"",VLOOKUP(C16,Schiri_25!A2:L181,12,1))</f>
        <v>sebastian_kammer@gmx.de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Eigaben!V64</f>
        <v>5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Eigaben!S64</f>
        <v>2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1:V1"/>
    <mergeCell ref="A3:AA3"/>
    <mergeCell ref="AC3:AE3"/>
    <mergeCell ref="A5:E5"/>
    <mergeCell ref="F5:L5"/>
    <mergeCell ref="M5:N5"/>
    <mergeCell ref="O5:T5"/>
    <mergeCell ref="U5:X5"/>
    <mergeCell ref="A7:M7"/>
    <mergeCell ref="N7:N8"/>
    <mergeCell ref="O7:AA7"/>
    <mergeCell ref="AC7:AD7"/>
    <mergeCell ref="AE7:AF7"/>
    <mergeCell ref="O8:AA8"/>
    <mergeCell ref="A9:M9"/>
    <mergeCell ref="O9:AA9"/>
    <mergeCell ref="A10:F10"/>
    <mergeCell ref="G10:M10"/>
    <mergeCell ref="O10:T10"/>
    <mergeCell ref="U10:AA10"/>
    <mergeCell ref="A11:F11"/>
    <mergeCell ref="G11:M11"/>
    <mergeCell ref="O11:T11"/>
    <mergeCell ref="U11:AA11"/>
    <mergeCell ref="A12:M12"/>
    <mergeCell ref="O12:AA12"/>
    <mergeCell ref="A14:F14"/>
    <mergeCell ref="G14:K14"/>
    <mergeCell ref="L14:S14"/>
    <mergeCell ref="T14:AA14"/>
    <mergeCell ref="A15:F15"/>
    <mergeCell ref="G15:K15"/>
    <mergeCell ref="L15:S15"/>
    <mergeCell ref="T15:AA15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</mergeCells>
  <conditionalFormatting sqref="A41">
    <cfRule type="cellIs" dxfId="159" priority="20" stopIfTrue="1" operator="greaterThan">
      <formula>$C$41</formula>
    </cfRule>
  </conditionalFormatting>
  <conditionalFormatting sqref="C41">
    <cfRule type="cellIs" dxfId="158" priority="10" stopIfTrue="1" operator="greaterThan">
      <formula>$A$41</formula>
    </cfRule>
    <cfRule type="cellIs" dxfId="157" priority="11" stopIfTrue="1" operator="greaterThan">
      <formula>$A$41</formula>
    </cfRule>
  </conditionalFormatting>
  <conditionalFormatting sqref="D41">
    <cfRule type="cellIs" dxfId="156" priority="19" stopIfTrue="1" operator="greaterThan">
      <formula>$F$41</formula>
    </cfRule>
  </conditionalFormatting>
  <conditionalFormatting sqref="F41">
    <cfRule type="cellIs" dxfId="155" priority="9" stopIfTrue="1" operator="greaterThan">
      <formula>$D$41</formula>
    </cfRule>
  </conditionalFormatting>
  <conditionalFormatting sqref="G41">
    <cfRule type="cellIs" dxfId="154" priority="18" stopIfTrue="1" operator="greaterThan">
      <formula>$I$41</formula>
    </cfRule>
  </conditionalFormatting>
  <conditionalFormatting sqref="I41">
    <cfRule type="cellIs" dxfId="153" priority="8" stopIfTrue="1" operator="greaterThan">
      <formula>$G$41</formula>
    </cfRule>
  </conditionalFormatting>
  <conditionalFormatting sqref="J41">
    <cfRule type="cellIs" dxfId="152" priority="17" stopIfTrue="1" operator="greaterThan">
      <formula>$L$41</formula>
    </cfRule>
  </conditionalFormatting>
  <conditionalFormatting sqref="L41">
    <cfRule type="cellIs" dxfId="151" priority="7" stopIfTrue="1" operator="greaterThan">
      <formula>$J$41</formula>
    </cfRule>
  </conditionalFormatting>
  <conditionalFormatting sqref="M41">
    <cfRule type="cellIs" dxfId="150" priority="16" stopIfTrue="1" operator="greaterThan">
      <formula>$O$41</formula>
    </cfRule>
  </conditionalFormatting>
  <conditionalFormatting sqref="O41">
    <cfRule type="cellIs" dxfId="149" priority="6" stopIfTrue="1" operator="greaterThan">
      <formula>$M$41</formula>
    </cfRule>
  </conditionalFormatting>
  <conditionalFormatting sqref="P41">
    <cfRule type="cellIs" dxfId="148" priority="15" stopIfTrue="1" operator="greaterThan">
      <formula>$R$41</formula>
    </cfRule>
  </conditionalFormatting>
  <conditionalFormatting sqref="R41">
    <cfRule type="cellIs" dxfId="147" priority="5" stopIfTrue="1" operator="greaterThan">
      <formula>$P$41</formula>
    </cfRule>
  </conditionalFormatting>
  <conditionalFormatting sqref="S41">
    <cfRule type="cellIs" dxfId="146" priority="14" stopIfTrue="1" operator="greaterThan">
      <formula>$U$41</formula>
    </cfRule>
  </conditionalFormatting>
  <conditionalFormatting sqref="U41">
    <cfRule type="cellIs" dxfId="145" priority="1" stopIfTrue="1" operator="greaterThan">
      <formula>$S$41</formula>
    </cfRule>
    <cfRule type="cellIs" dxfId="144" priority="4" stopIfTrue="1" operator="greaterThan">
      <formula>$U$41</formula>
    </cfRule>
  </conditionalFormatting>
  <conditionalFormatting sqref="V41">
    <cfRule type="cellIs" dxfId="143" priority="13" stopIfTrue="1" operator="greaterThan">
      <formula>$X$41</formula>
    </cfRule>
  </conditionalFormatting>
  <conditionalFormatting sqref="X41">
    <cfRule type="cellIs" dxfId="142" priority="3" stopIfTrue="1" operator="greaterThan">
      <formula>$V$41</formula>
    </cfRule>
  </conditionalFormatting>
  <conditionalFormatting sqref="Y41">
    <cfRule type="cellIs" dxfId="141" priority="12" stopIfTrue="1" operator="greaterThan">
      <formula>$AA$41</formula>
    </cfRule>
  </conditionalFormatting>
  <conditionalFormatting sqref="AA41">
    <cfRule type="cellIs" dxfId="140" priority="2" stopIfTrue="1" operator="greaterThan">
      <formula>$Y$41</formula>
    </cfRule>
  </conditionalFormatting>
  <hyperlinks>
    <hyperlink ref="R45" r:id="rId1" display="pabst@swissfaustball.ch" xr:uid="{00000000-0004-0000-3D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11"/>
  </sheetPr>
  <dimension ref="A1:AN60"/>
  <sheetViews>
    <sheetView workbookViewId="0">
      <selection sqref="A1:AJ2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25'!A5</f>
        <v>1/4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25'!A15</f>
        <v>45852</v>
      </c>
      <c r="F6" s="1343"/>
      <c r="G6" s="1343"/>
      <c r="H6" s="1343"/>
      <c r="I6" s="1343"/>
      <c r="J6" s="1320" t="s">
        <v>324</v>
      </c>
      <c r="K6" s="1320"/>
      <c r="L6" s="1321">
        <f>'Aufgebot 25'!G15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25'!L15</f>
        <v>Jona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25'!Y5</f>
        <v>25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25'!A8</f>
        <v>TSV Jona 1( NLB O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25'!O8</f>
        <v>SVD Diepoldsau-Schmitter (NLA)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25'!A19&amp;" "&amp;'Aufgebot 25'!G19</f>
        <v>Sebastian Kammer 079 254 36 41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25'!A9</f>
        <v>Fabian Zahner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25'!$G$34&gt;0,1,"")</f>
        <v>1</v>
      </c>
      <c r="H30" s="249">
        <f>IF('Aufgebot 25'!$G$34&gt;0,2,"")</f>
        <v>2</v>
      </c>
      <c r="I30" s="249" t="str">
        <f>IF('Aufgebot 25'!$G$34=3,3,"")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G30</f>
        <v>1</v>
      </c>
      <c r="H32" s="249">
        <f>H30</f>
        <v>2</v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G32</f>
        <v>1</v>
      </c>
      <c r="H34" s="249">
        <f>H32</f>
        <v>2</v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G34</f>
        <v>1</v>
      </c>
      <c r="H36" s="249">
        <f>H34</f>
        <v>2</v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G36</f>
        <v>1</v>
      </c>
      <c r="H39" s="249">
        <f>H36</f>
        <v>2</v>
      </c>
      <c r="I39" s="249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G39</f>
        <v>1</v>
      </c>
      <c r="H41" s="249">
        <f>H39</f>
        <v>2</v>
      </c>
      <c r="I41" s="249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G41</f>
        <v>1</v>
      </c>
      <c r="H43" s="249">
        <f>H41</f>
        <v>2</v>
      </c>
      <c r="I43" s="249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G43</f>
        <v>1</v>
      </c>
      <c r="H45" s="249">
        <f>H43</f>
        <v>2</v>
      </c>
      <c r="I45" s="249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G45</f>
        <v>1</v>
      </c>
      <c r="H48" s="249">
        <f>H45</f>
        <v>2</v>
      </c>
      <c r="I48" s="249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F11:Q11"/>
    <mergeCell ref="X11:AI11"/>
    <mergeCell ref="F12:Q12"/>
    <mergeCell ref="X12:AI12"/>
    <mergeCell ref="F13:Q13"/>
    <mergeCell ref="X13:AI13"/>
    <mergeCell ref="F14:Q14"/>
    <mergeCell ref="X14:AI14"/>
    <mergeCell ref="F15:Q15"/>
    <mergeCell ref="X15:AI15"/>
    <mergeCell ref="F16:Q16"/>
    <mergeCell ref="X16:AI16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N26:P26"/>
    <mergeCell ref="C32:C33"/>
    <mergeCell ref="D32:E33"/>
    <mergeCell ref="C34:C35"/>
    <mergeCell ref="D34:E35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A55:AJ55"/>
    <mergeCell ref="A56:Q56"/>
    <mergeCell ref="R56:AJ56"/>
    <mergeCell ref="A57:Q57"/>
    <mergeCell ref="R57:AJ57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Q54"/>
  <sheetViews>
    <sheetView workbookViewId="0">
      <selection activeCell="R19" sqref="R19:AA19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4</v>
      </c>
      <c r="D2" s="503" t="str">
        <f>VLOOKUP(A2,Eigaben!Y8:AC14,5,0)</f>
        <v>1/4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1/4 Final</v>
      </c>
      <c r="B5" s="1370"/>
      <c r="C5" s="1370"/>
      <c r="D5" s="1370"/>
      <c r="E5" s="1371"/>
      <c r="F5" s="1211">
        <f>VLOOKUP($A$2,Eigaben!$Y$8:$AC$14,2,1)</f>
        <v>45866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45884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25'!Y5+1</f>
        <v>26</v>
      </c>
      <c r="Z5" s="394"/>
      <c r="AA5" s="396"/>
      <c r="AC5" s="156"/>
      <c r="AD5" s="265"/>
      <c r="AE5" s="172"/>
    </row>
    <row r="6" spans="1:33" ht="9" customHeight="1" thickBot="1">
      <c r="A6" s="506">
        <f>Eigaben!F65</f>
        <v>41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Eigaben!G65</f>
        <v>64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FBV Ettenhausen ( 2. Liga S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Affeltrangen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Simon  Kunz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Ribi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Matthofstr 43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8355 Aadorf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2b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8507 Hörhausen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079 438 17 59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079 585 70 85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simon.kunz@fbv-ettenhausen.ch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 xml:space="preserve">faustball@stv-affeltrangen.ch 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Eigaben!C65</f>
        <v>26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IF(Eigaben!C65=0,"",VLOOKUP(C13,Eigaben!$C$28:$V$109,13,0))</f>
        <v>45888</v>
      </c>
      <c r="B15" s="1199"/>
      <c r="C15" s="1199"/>
      <c r="D15" s="1199"/>
      <c r="E15" s="1199"/>
      <c r="F15" s="1199"/>
      <c r="G15" s="1194">
        <f>IF(Eigaben!C65=0,"",VLOOKUP(C13,Eigaben!$C$28:$V$110,14,0))</f>
        <v>0.79166666666666663</v>
      </c>
      <c r="H15" s="1194"/>
      <c r="I15" s="1194"/>
      <c r="J15" s="1194"/>
      <c r="K15" s="1194"/>
      <c r="L15" s="1195" t="str">
        <f>IF(Eigaben!C65=0,"",VLOOKUP(C13,Eigaben!$C$28:$V$1110,15,0))</f>
        <v>Guntershausen</v>
      </c>
      <c r="M15" s="1196"/>
      <c r="N15" s="1196"/>
      <c r="O15" s="1196"/>
      <c r="P15" s="1196"/>
      <c r="Q15" s="1196"/>
      <c r="R15" s="1196"/>
      <c r="S15" s="1197"/>
      <c r="T15" s="1195" t="str">
        <f>IF(Eigaben!C65=0,"",VLOOKUP(C13,Eigaben!$C$28:$V$110,16,0))</f>
        <v>Schulhaus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Eigaben!T65</f>
        <v>79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Daniel Ziereisen</v>
      </c>
      <c r="B19" s="1362"/>
      <c r="C19" s="1362"/>
      <c r="D19" s="1362"/>
      <c r="E19" s="1362"/>
      <c r="F19" s="1363"/>
      <c r="G19" s="860" t="str">
        <f>IF(C16=0,"",VLOOKUP(C16,Schiri_25!A2:L181,9,1))</f>
        <v>+41 79 672 26 12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+41 52 364 23 90</v>
      </c>
      <c r="N19" s="1408"/>
      <c r="O19" s="1408"/>
      <c r="P19" s="1408"/>
      <c r="Q19" s="902"/>
      <c r="R19" s="1364" t="str">
        <f>IF(C16=0,"",VLOOKUP(C16,Schiri_25!A2:L181,12,1))</f>
        <v>daniel.ziereisen@hcs-controls.ch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Eigaben!V65</f>
        <v>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116" t="s">
        <v>245</v>
      </c>
      <c r="F32" s="1116"/>
      <c r="G32" s="1116"/>
      <c r="H32" s="1116"/>
      <c r="I32" s="1116"/>
      <c r="J32" s="1116"/>
      <c r="K32" s="1116"/>
      <c r="L32" s="1116"/>
      <c r="M32" s="1116"/>
      <c r="N32" s="1116"/>
      <c r="O32" s="1116"/>
      <c r="P32" s="1116"/>
      <c r="Q32" s="1116"/>
      <c r="R32" s="1117" t="s">
        <v>162</v>
      </c>
      <c r="S32" s="1117"/>
      <c r="T32" s="1117"/>
      <c r="U32" s="1117"/>
      <c r="V32" s="1117"/>
      <c r="W32" s="1117"/>
      <c r="X32" s="1117"/>
      <c r="Y32" s="1117"/>
      <c r="Z32" s="1117"/>
      <c r="AA32" s="1118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Eigaben!S65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1363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1:V1"/>
    <mergeCell ref="A3:AA3"/>
    <mergeCell ref="AC3:AE3"/>
    <mergeCell ref="A5:E5"/>
    <mergeCell ref="F5:L5"/>
    <mergeCell ref="M5:N5"/>
    <mergeCell ref="O5:T5"/>
    <mergeCell ref="U5:X5"/>
    <mergeCell ref="A7:M7"/>
    <mergeCell ref="N7:N8"/>
    <mergeCell ref="O7:AA7"/>
    <mergeCell ref="AC7:AD7"/>
    <mergeCell ref="AE7:AF7"/>
    <mergeCell ref="O8:AA8"/>
    <mergeCell ref="A9:M9"/>
    <mergeCell ref="O9:AA9"/>
    <mergeCell ref="A10:F10"/>
    <mergeCell ref="G10:M10"/>
    <mergeCell ref="O10:T10"/>
    <mergeCell ref="U10:AA10"/>
    <mergeCell ref="A11:F11"/>
    <mergeCell ref="G11:M11"/>
    <mergeCell ref="O11:T11"/>
    <mergeCell ref="U11:AA11"/>
    <mergeCell ref="A12:M12"/>
    <mergeCell ref="O12:AA12"/>
    <mergeCell ref="A14:F14"/>
    <mergeCell ref="G14:K14"/>
    <mergeCell ref="L14:S14"/>
    <mergeCell ref="T14:AA14"/>
    <mergeCell ref="A15:F15"/>
    <mergeCell ref="G15:K15"/>
    <mergeCell ref="L15:S15"/>
    <mergeCell ref="T15:AA15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36:F36"/>
    <mergeCell ref="G36:AA36"/>
    <mergeCell ref="AJ27:AM27"/>
    <mergeCell ref="A29:AA29"/>
    <mergeCell ref="A31:AA31"/>
    <mergeCell ref="A32:D32"/>
    <mergeCell ref="E32:Q32"/>
    <mergeCell ref="R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</mergeCells>
  <conditionalFormatting sqref="A41">
    <cfRule type="cellIs" dxfId="139" priority="20" stopIfTrue="1" operator="greaterThan">
      <formula>$C$41</formula>
    </cfRule>
  </conditionalFormatting>
  <conditionalFormatting sqref="C41">
    <cfRule type="cellIs" dxfId="138" priority="10" stopIfTrue="1" operator="greaterThan">
      <formula>$A$41</formula>
    </cfRule>
    <cfRule type="cellIs" dxfId="137" priority="11" stopIfTrue="1" operator="greaterThan">
      <formula>$A$41</formula>
    </cfRule>
  </conditionalFormatting>
  <conditionalFormatting sqref="D41">
    <cfRule type="cellIs" dxfId="136" priority="19" stopIfTrue="1" operator="greaterThan">
      <formula>$F$41</formula>
    </cfRule>
  </conditionalFormatting>
  <conditionalFormatting sqref="F41">
    <cfRule type="cellIs" dxfId="135" priority="9" stopIfTrue="1" operator="greaterThan">
      <formula>$D$41</formula>
    </cfRule>
  </conditionalFormatting>
  <conditionalFormatting sqref="G41">
    <cfRule type="cellIs" dxfId="134" priority="18" stopIfTrue="1" operator="greaterThan">
      <formula>$I$41</formula>
    </cfRule>
  </conditionalFormatting>
  <conditionalFormatting sqref="I41">
    <cfRule type="cellIs" dxfId="133" priority="8" stopIfTrue="1" operator="greaterThan">
      <formula>$G$41</formula>
    </cfRule>
  </conditionalFormatting>
  <conditionalFormatting sqref="J41">
    <cfRule type="cellIs" dxfId="132" priority="17" stopIfTrue="1" operator="greaterThan">
      <formula>$L$41</formula>
    </cfRule>
  </conditionalFormatting>
  <conditionalFormatting sqref="L41">
    <cfRule type="cellIs" dxfId="131" priority="7" stopIfTrue="1" operator="greaterThan">
      <formula>$J$41</formula>
    </cfRule>
  </conditionalFormatting>
  <conditionalFormatting sqref="M41">
    <cfRule type="cellIs" dxfId="130" priority="16" stopIfTrue="1" operator="greaterThan">
      <formula>$O$41</formula>
    </cfRule>
  </conditionalFormatting>
  <conditionalFormatting sqref="O41">
    <cfRule type="cellIs" dxfId="129" priority="6" stopIfTrue="1" operator="greaterThan">
      <formula>$M$41</formula>
    </cfRule>
  </conditionalFormatting>
  <conditionalFormatting sqref="P41">
    <cfRule type="cellIs" dxfId="128" priority="15" stopIfTrue="1" operator="greaterThan">
      <formula>$R$41</formula>
    </cfRule>
  </conditionalFormatting>
  <conditionalFormatting sqref="R41">
    <cfRule type="cellIs" dxfId="127" priority="5" stopIfTrue="1" operator="greaterThan">
      <formula>$P$41</formula>
    </cfRule>
  </conditionalFormatting>
  <conditionalFormatting sqref="S41">
    <cfRule type="cellIs" dxfId="126" priority="14" stopIfTrue="1" operator="greaterThan">
      <formula>$U$41</formula>
    </cfRule>
  </conditionalFormatting>
  <conditionalFormatting sqref="U41">
    <cfRule type="cellIs" dxfId="125" priority="1" stopIfTrue="1" operator="greaterThan">
      <formula>$S$41</formula>
    </cfRule>
    <cfRule type="cellIs" dxfId="124" priority="4" stopIfTrue="1" operator="greaterThan">
      <formula>$U$41</formula>
    </cfRule>
  </conditionalFormatting>
  <conditionalFormatting sqref="V41">
    <cfRule type="cellIs" dxfId="123" priority="13" stopIfTrue="1" operator="greaterThan">
      <formula>$X$41</formula>
    </cfRule>
  </conditionalFormatting>
  <conditionalFormatting sqref="X41">
    <cfRule type="cellIs" dxfId="122" priority="3" stopIfTrue="1" operator="greaterThan">
      <formula>$V$41</formula>
    </cfRule>
  </conditionalFormatting>
  <conditionalFormatting sqref="Y41">
    <cfRule type="cellIs" dxfId="121" priority="12" stopIfTrue="1" operator="greaterThan">
      <formula>$AA$41</formula>
    </cfRule>
  </conditionalFormatting>
  <conditionalFormatting sqref="AA41">
    <cfRule type="cellIs" dxfId="120" priority="2" stopIfTrue="1" operator="greaterThan">
      <formula>$Y$41</formula>
    </cfRule>
  </conditionalFormatting>
  <hyperlinks>
    <hyperlink ref="R45" r:id="rId1" display="pabst@swissfaustball.ch" xr:uid="{00000000-0004-0000-3F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indexed="11"/>
  </sheetPr>
  <dimension ref="A1:AN60"/>
  <sheetViews>
    <sheetView workbookViewId="0">
      <selection activeCell="AM13" sqref="AM13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26'!A5</f>
        <v>1/4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20'!A15</f>
        <v>45853</v>
      </c>
      <c r="F6" s="1343"/>
      <c r="G6" s="1343"/>
      <c r="H6" s="1343"/>
      <c r="I6" s="1343"/>
      <c r="J6" s="1320" t="s">
        <v>324</v>
      </c>
      <c r="K6" s="1320"/>
      <c r="L6" s="1321">
        <f>'Aufgebot 20'!G15</f>
        <v>0.83333333333333337</v>
      </c>
      <c r="M6" s="1321"/>
      <c r="N6" s="1321"/>
      <c r="O6" s="1320" t="s">
        <v>323</v>
      </c>
      <c r="P6" s="1320"/>
      <c r="Q6" s="1320"/>
      <c r="R6" s="1320"/>
      <c r="S6" s="1409" t="str">
        <f>'Aufgebot 26'!L15</f>
        <v>Guntershausen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26'!Y5</f>
        <v>26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26'!A8</f>
        <v>FBV Ettenhausen ( 2. Liga S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26'!O8</f>
        <v>STV Affeltrangen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26'!A19&amp;" "&amp;'Aufgebot 26'!G19</f>
        <v>Daniel Ziereisen +41 79 672 26 12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26'!A9</f>
        <v>Simon  Kunz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26'!$G$34&gt;0,1,"")</f>
        <v>1</v>
      </c>
      <c r="H30" s="249">
        <f>IF('Aufgebot 26'!$G$34&gt;0,2,"")</f>
        <v>2</v>
      </c>
      <c r="I30" s="249">
        <f>IF('Aufgebot 26'!$G$34=3,3,"")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G30</f>
        <v>1</v>
      </c>
      <c r="H32" s="249">
        <f>H30</f>
        <v>2</v>
      </c>
      <c r="I32" s="249">
        <f>I30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G32</f>
        <v>1</v>
      </c>
      <c r="H34" s="249">
        <f>H32</f>
        <v>2</v>
      </c>
      <c r="I34" s="249">
        <f>I32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G34</f>
        <v>1</v>
      </c>
      <c r="H36" s="249">
        <f>H34</f>
        <v>2</v>
      </c>
      <c r="I36" s="249">
        <f>I34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G36</f>
        <v>1</v>
      </c>
      <c r="H39" s="249">
        <f>H36</f>
        <v>2</v>
      </c>
      <c r="I39" s="249">
        <f>I36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G39</f>
        <v>1</v>
      </c>
      <c r="H41" s="249">
        <f>H39</f>
        <v>2</v>
      </c>
      <c r="I41" s="249">
        <f>I39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G41</f>
        <v>1</v>
      </c>
      <c r="H43" s="249">
        <f>H41</f>
        <v>2</v>
      </c>
      <c r="I43" s="249">
        <f>I41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G43</f>
        <v>1</v>
      </c>
      <c r="H45" s="249">
        <f>H43</f>
        <v>2</v>
      </c>
      <c r="I45" s="249">
        <f>I43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G45</f>
        <v>1</v>
      </c>
      <c r="H48" s="249">
        <f>H45</f>
        <v>2</v>
      </c>
      <c r="I48" s="249">
        <f>I45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F11:Q11"/>
    <mergeCell ref="X11:AI11"/>
    <mergeCell ref="F12:Q12"/>
    <mergeCell ref="X12:AI12"/>
    <mergeCell ref="F13:Q13"/>
    <mergeCell ref="X13:AI13"/>
    <mergeCell ref="F14:Q14"/>
    <mergeCell ref="X14:AI14"/>
    <mergeCell ref="F15:Q15"/>
    <mergeCell ref="X15:AI15"/>
    <mergeCell ref="F16:Q16"/>
    <mergeCell ref="X16:AI16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N26:P26"/>
    <mergeCell ref="C32:C33"/>
    <mergeCell ref="D32:E33"/>
    <mergeCell ref="C34:C35"/>
    <mergeCell ref="D34:E35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A55:AJ55"/>
    <mergeCell ref="A56:Q56"/>
    <mergeCell ref="R56:AJ56"/>
    <mergeCell ref="A57:Q57"/>
    <mergeCell ref="R57:AJ57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Q54"/>
  <sheetViews>
    <sheetView workbookViewId="0">
      <selection activeCell="AH21" sqref="AH21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4</v>
      </c>
      <c r="D2" s="503" t="str">
        <f>VLOOKUP(A2,Eigaben!Y8:AC14,5,0)</f>
        <v>1/4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1/4 Final</v>
      </c>
      <c r="B5" s="1370"/>
      <c r="C5" s="1370"/>
      <c r="D5" s="1370"/>
      <c r="E5" s="1371"/>
      <c r="F5" s="1211">
        <f>VLOOKUP($A$2,Eigaben!$Y$8:$AC$14,2,1)</f>
        <v>45866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45884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26'!Y5+1</f>
        <v>27</v>
      </c>
      <c r="Z5" s="394"/>
      <c r="AA5" s="396"/>
      <c r="AC5" s="156"/>
      <c r="AD5" s="265"/>
      <c r="AE5" s="172"/>
    </row>
    <row r="6" spans="1:33" ht="9" customHeight="1" thickBot="1">
      <c r="A6" s="506">
        <f>Eigaben!F66</f>
        <v>44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Eigaben!G66</f>
        <v>68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Oberentfelden  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Oberentfelden 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Christian Suter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Christian Suter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Aeppenhaldenstr 3b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Aeppenhaldenstr 3b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4800 Zofingen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079 476 04 32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079 476 04 32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christian.suter@faustballcenter.ch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christian.suter@faustballcenter.ch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Eigaben!C66</f>
        <v>27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IF(Eigaben!C66=0,"",VLOOKUP(C13,Eigaben!$C$28:$V$109,13,0))</f>
        <v>45888</v>
      </c>
      <c r="B15" s="1199"/>
      <c r="C15" s="1199"/>
      <c r="D15" s="1199"/>
      <c r="E15" s="1199"/>
      <c r="F15" s="1199"/>
      <c r="G15" s="1194">
        <f>IF(Eigaben!C66=0,"",VLOOKUP(C13,Eigaben!$C$28:$V$110,14,0))</f>
        <v>0.8125</v>
      </c>
      <c r="H15" s="1194"/>
      <c r="I15" s="1194"/>
      <c r="J15" s="1194"/>
      <c r="K15" s="1194"/>
      <c r="L15" s="1195" t="str">
        <f>IF(Eigaben!C66=0,"",VLOOKUP(C13,Eigaben!$C$28:$V$1110,15,0))</f>
        <v>Oberentfelde</v>
      </c>
      <c r="M15" s="1196"/>
      <c r="N15" s="1196"/>
      <c r="O15" s="1196"/>
      <c r="P15" s="1196"/>
      <c r="Q15" s="1196"/>
      <c r="R15" s="1196"/>
      <c r="S15" s="1197"/>
      <c r="T15" s="1195" t="str">
        <f>IF(Eigaben!C66=0,"",VLOOKUP(C13,Eigaben!$C$28:$V$110,16,0))</f>
        <v>Erlenweg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Eigaben!T66</f>
        <v>95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Luca Hochuli</v>
      </c>
      <c r="B19" s="1362"/>
      <c r="C19" s="1362"/>
      <c r="D19" s="1362"/>
      <c r="E19" s="1362"/>
      <c r="F19" s="1363"/>
      <c r="G19" s="860" t="str">
        <f>IF(C16=0,"",VLOOKUP(C16,Schiri_25!A2:L181,9,1))</f>
        <v>076 247 29 07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062 726 30 06</v>
      </c>
      <c r="N19" s="1408"/>
      <c r="O19" s="1408"/>
      <c r="P19" s="1408"/>
      <c r="Q19" s="902"/>
      <c r="R19" s="1364" t="str">
        <f>IF(C16=0,"",VLOOKUP(C16,Schiri_25!A2:L181,12,1))</f>
        <v>lucahochuli261@gmail.com</v>
      </c>
      <c r="S19" s="1365"/>
      <c r="T19" s="1365"/>
      <c r="U19" s="1365"/>
      <c r="V19" s="1365"/>
      <c r="W19" s="1365"/>
      <c r="X19" s="1365"/>
      <c r="Y19" s="1365"/>
      <c r="Z19" s="1365"/>
      <c r="AA19" s="1366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0.80208333333333337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Eigaben!V66</f>
        <v>17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3" t="s">
        <v>245</v>
      </c>
      <c r="F32" s="1423"/>
      <c r="G32" s="1423"/>
      <c r="H32" s="1423"/>
      <c r="I32" s="1423"/>
      <c r="J32" s="1423"/>
      <c r="K32" s="1423"/>
      <c r="L32" s="1423"/>
      <c r="M32" s="1423"/>
      <c r="N32" s="1423"/>
      <c r="O32" s="1423"/>
      <c r="P32" s="865" t="s">
        <v>1020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Eigaben!S65</f>
        <v>3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E1:V1"/>
    <mergeCell ref="A3:AA3"/>
    <mergeCell ref="AC3:AE3"/>
    <mergeCell ref="A5:E5"/>
    <mergeCell ref="F5:L5"/>
    <mergeCell ref="M5:N5"/>
    <mergeCell ref="O5:T5"/>
    <mergeCell ref="U5:X5"/>
    <mergeCell ref="A7:M7"/>
    <mergeCell ref="N7:N8"/>
    <mergeCell ref="O7:AA7"/>
    <mergeCell ref="AC7:AD7"/>
    <mergeCell ref="AE7:AF7"/>
    <mergeCell ref="O8:AA8"/>
    <mergeCell ref="A9:M9"/>
    <mergeCell ref="O9:AA9"/>
    <mergeCell ref="A10:F10"/>
    <mergeCell ref="G10:M10"/>
    <mergeCell ref="O10:T10"/>
    <mergeCell ref="U10:AA10"/>
    <mergeCell ref="A11:F11"/>
    <mergeCell ref="G11:M11"/>
    <mergeCell ref="O11:T11"/>
    <mergeCell ref="U11:AA11"/>
    <mergeCell ref="A12:M12"/>
    <mergeCell ref="O12:AA12"/>
    <mergeCell ref="A14:F14"/>
    <mergeCell ref="G14:K14"/>
    <mergeCell ref="L14:S14"/>
    <mergeCell ref="T14:AA14"/>
    <mergeCell ref="A15:F15"/>
    <mergeCell ref="G15:K15"/>
    <mergeCell ref="L15:S15"/>
    <mergeCell ref="T15:AA15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</mergeCells>
  <conditionalFormatting sqref="A41">
    <cfRule type="cellIs" dxfId="119" priority="20" stopIfTrue="1" operator="greaterThan">
      <formula>$C$41</formula>
    </cfRule>
  </conditionalFormatting>
  <conditionalFormatting sqref="C41">
    <cfRule type="cellIs" dxfId="118" priority="10" stopIfTrue="1" operator="greaterThan">
      <formula>$A$41</formula>
    </cfRule>
    <cfRule type="cellIs" dxfId="117" priority="11" stopIfTrue="1" operator="greaterThan">
      <formula>$A$41</formula>
    </cfRule>
  </conditionalFormatting>
  <conditionalFormatting sqref="D41">
    <cfRule type="cellIs" dxfId="116" priority="19" stopIfTrue="1" operator="greaterThan">
      <formula>$F$41</formula>
    </cfRule>
  </conditionalFormatting>
  <conditionalFormatting sqref="F41">
    <cfRule type="cellIs" dxfId="115" priority="9" stopIfTrue="1" operator="greaterThan">
      <formula>$D$41</formula>
    </cfRule>
  </conditionalFormatting>
  <conditionalFormatting sqref="G41">
    <cfRule type="cellIs" dxfId="114" priority="18" stopIfTrue="1" operator="greaterThan">
      <formula>$I$41</formula>
    </cfRule>
  </conditionalFormatting>
  <conditionalFormatting sqref="I41">
    <cfRule type="cellIs" dxfId="113" priority="8" stopIfTrue="1" operator="greaterThan">
      <formula>$G$41</formula>
    </cfRule>
  </conditionalFormatting>
  <conditionalFormatting sqref="J41">
    <cfRule type="cellIs" dxfId="112" priority="17" stopIfTrue="1" operator="greaterThan">
      <formula>$L$41</formula>
    </cfRule>
  </conditionalFormatting>
  <conditionalFormatting sqref="L41">
    <cfRule type="cellIs" dxfId="111" priority="7" stopIfTrue="1" operator="greaterThan">
      <formula>$J$41</formula>
    </cfRule>
  </conditionalFormatting>
  <conditionalFormatting sqref="M41">
    <cfRule type="cellIs" dxfId="110" priority="16" stopIfTrue="1" operator="greaterThan">
      <formula>$O$41</formula>
    </cfRule>
  </conditionalFormatting>
  <conditionalFormatting sqref="O41">
    <cfRule type="cellIs" dxfId="109" priority="6" stopIfTrue="1" operator="greaterThan">
      <formula>$M$41</formula>
    </cfRule>
  </conditionalFormatting>
  <conditionalFormatting sqref="P41">
    <cfRule type="cellIs" dxfId="108" priority="15" stopIfTrue="1" operator="greaterThan">
      <formula>$R$41</formula>
    </cfRule>
  </conditionalFormatting>
  <conditionalFormatting sqref="R41">
    <cfRule type="cellIs" dxfId="107" priority="5" stopIfTrue="1" operator="greaterThan">
      <formula>$P$41</formula>
    </cfRule>
  </conditionalFormatting>
  <conditionalFormatting sqref="S41">
    <cfRule type="cellIs" dxfId="106" priority="14" stopIfTrue="1" operator="greaterThan">
      <formula>$U$41</formula>
    </cfRule>
  </conditionalFormatting>
  <conditionalFormatting sqref="U41">
    <cfRule type="cellIs" dxfId="105" priority="1" stopIfTrue="1" operator="greaterThan">
      <formula>$S$41</formula>
    </cfRule>
    <cfRule type="cellIs" dxfId="104" priority="4" stopIfTrue="1" operator="greaterThan">
      <formula>$U$41</formula>
    </cfRule>
  </conditionalFormatting>
  <conditionalFormatting sqref="V41">
    <cfRule type="cellIs" dxfId="103" priority="13" stopIfTrue="1" operator="greaterThan">
      <formula>$X$41</formula>
    </cfRule>
  </conditionalFormatting>
  <conditionalFormatting sqref="X41">
    <cfRule type="cellIs" dxfId="102" priority="3" stopIfTrue="1" operator="greaterThan">
      <formula>$V$41</formula>
    </cfRule>
  </conditionalFormatting>
  <conditionalFormatting sqref="Y41">
    <cfRule type="cellIs" dxfId="101" priority="12" stopIfTrue="1" operator="greaterThan">
      <formula>$AA$41</formula>
    </cfRule>
  </conditionalFormatting>
  <conditionalFormatting sqref="AA41">
    <cfRule type="cellIs" dxfId="100" priority="2" stopIfTrue="1" operator="greaterThan">
      <formula>$Y$41</formula>
    </cfRule>
  </conditionalFormatting>
  <hyperlinks>
    <hyperlink ref="R45" r:id="rId1" display="pabst@swissfaustball.ch" xr:uid="{00000000-0004-0000-41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indexed="11"/>
  </sheetPr>
  <dimension ref="A1:AN60"/>
  <sheetViews>
    <sheetView workbookViewId="0">
      <selection activeCell="R19" sqref="R19:AA19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27'!A5</f>
        <v>1/4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27'!A15</f>
        <v>45888</v>
      </c>
      <c r="F6" s="1343"/>
      <c r="G6" s="1343"/>
      <c r="H6" s="1343"/>
      <c r="I6" s="1343"/>
      <c r="J6" s="1320" t="s">
        <v>324</v>
      </c>
      <c r="K6" s="1320"/>
      <c r="L6" s="1321">
        <f>'Aufgebot 27'!G15</f>
        <v>0.8125</v>
      </c>
      <c r="M6" s="1321"/>
      <c r="N6" s="1321"/>
      <c r="O6" s="1320" t="s">
        <v>323</v>
      </c>
      <c r="P6" s="1320"/>
      <c r="Q6" s="1320"/>
      <c r="R6" s="1320"/>
      <c r="S6" s="1409" t="str">
        <f>'Aufgebot 20'!L15</f>
        <v>Widnau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27'!Y5</f>
        <v>27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27'!A8</f>
        <v>STV Oberentfelden   ( 2. Liga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27'!O8</f>
        <v>STV Oberentfelden 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27'!A19&amp;" "&amp;'Aufgebot 27'!G19</f>
        <v>Luca Hochuli 076 247 29 07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27'!A9</f>
        <v>Christian Suter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>
        <f>IF('Aufgebot 27'!$G$34&gt;0,1,"")</f>
        <v>1</v>
      </c>
      <c r="H30" s="249">
        <f>IF('Aufgebot 27'!$G$34&gt;0,2,"")</f>
        <v>2</v>
      </c>
      <c r="I30" s="249">
        <f>IF('Aufgebot 27'!$G$34=3,3,"")</f>
        <v>3</v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>
        <f>G30</f>
        <v>1</v>
      </c>
      <c r="H32" s="249">
        <f>H30</f>
        <v>2</v>
      </c>
      <c r="I32" s="249">
        <f>I30</f>
        <v>3</v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>
        <f>G32</f>
        <v>1</v>
      </c>
      <c r="H34" s="249">
        <f>H32</f>
        <v>2</v>
      </c>
      <c r="I34" s="249">
        <f>I32</f>
        <v>3</v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>
        <f>G34</f>
        <v>1</v>
      </c>
      <c r="H36" s="249">
        <f>H34</f>
        <v>2</v>
      </c>
      <c r="I36" s="249">
        <f>I34</f>
        <v>3</v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>
        <f>G36</f>
        <v>1</v>
      </c>
      <c r="H39" s="249">
        <f>H36</f>
        <v>2</v>
      </c>
      <c r="I39" s="249">
        <f>I36</f>
        <v>3</v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>
        <f>G39</f>
        <v>1</v>
      </c>
      <c r="H41" s="249">
        <f>H39</f>
        <v>2</v>
      </c>
      <c r="I41" s="249">
        <f>I39</f>
        <v>3</v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>
        <f>G41</f>
        <v>1</v>
      </c>
      <c r="H43" s="249">
        <f>H41</f>
        <v>2</v>
      </c>
      <c r="I43" s="249">
        <f>I41</f>
        <v>3</v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>
        <f>G43</f>
        <v>1</v>
      </c>
      <c r="H45" s="249">
        <f>H43</f>
        <v>2</v>
      </c>
      <c r="I45" s="249">
        <f>I43</f>
        <v>3</v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>
        <f>G45</f>
        <v>1</v>
      </c>
      <c r="H48" s="249">
        <f>H45</f>
        <v>2</v>
      </c>
      <c r="I48" s="249">
        <f>I45</f>
        <v>3</v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F11:Q11"/>
    <mergeCell ref="X11:AI11"/>
    <mergeCell ref="F12:Q12"/>
    <mergeCell ref="X12:AI12"/>
    <mergeCell ref="F13:Q13"/>
    <mergeCell ref="X13:AI13"/>
    <mergeCell ref="F14:Q14"/>
    <mergeCell ref="X14:AI14"/>
    <mergeCell ref="F15:Q15"/>
    <mergeCell ref="X15:AI15"/>
    <mergeCell ref="F16:Q16"/>
    <mergeCell ref="X16:AI16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N26:P26"/>
    <mergeCell ref="C32:C33"/>
    <mergeCell ref="D32:E33"/>
    <mergeCell ref="C34:C35"/>
    <mergeCell ref="D34:E35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A55:AJ55"/>
    <mergeCell ref="A56:Q56"/>
    <mergeCell ref="R56:AJ56"/>
    <mergeCell ref="A57:Q57"/>
    <mergeCell ref="R57:AJ57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4</v>
      </c>
      <c r="D2" s="503" t="str">
        <f>VLOOKUP(A2,Eigaben!Y8:AC14,5,0)</f>
        <v>1/4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1/4 Final</v>
      </c>
      <c r="B5" s="1370"/>
      <c r="C5" s="1370"/>
      <c r="D5" s="1370"/>
      <c r="E5" s="1371"/>
      <c r="F5" s="1211">
        <f>VLOOKUP($A$2,Eigaben!$Y$8:$AC$14,2,1)</f>
        <v>45866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45884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27'!Y5+1</f>
        <v>28</v>
      </c>
      <c r="Z5" s="394"/>
      <c r="AA5" s="396"/>
      <c r="AC5" s="156"/>
      <c r="AD5" s="265"/>
      <c r="AE5" s="172"/>
    </row>
    <row r="6" spans="1:33" ht="9" customHeight="1" thickBot="1">
      <c r="A6" s="506">
        <f>Eigaben!F67</f>
        <v>69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Eigaben!G67</f>
        <v>66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FG Rickenbach-Wilen ( NLA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Elgg-Ettenhausen 1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Jonas Hess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Markus Fehr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 xml:space="preserve"> 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 xml:space="preserve">   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Hintergasse 3a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8353 Elgg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079 900 69 17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078 613 39 28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spiko@fgriwi.ch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fehr.markus@bluewin.ch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Eigaben!C67</f>
        <v>28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IF(Eigaben!C67=0,"",VLOOKUP(C13,Eigaben!$C$28:$V$109,13,0))</f>
        <v>45897</v>
      </c>
      <c r="B15" s="1199"/>
      <c r="C15" s="1199"/>
      <c r="D15" s="1199"/>
      <c r="E15" s="1199"/>
      <c r="F15" s="1199"/>
      <c r="G15" s="1194">
        <f>IF(Eigaben!C67=0,"",VLOOKUP(C13,Eigaben!$C$28:$V$110,14,0))</f>
        <v>0.78819444444444442</v>
      </c>
      <c r="H15" s="1194"/>
      <c r="I15" s="1194"/>
      <c r="J15" s="1194"/>
      <c r="K15" s="1194"/>
      <c r="L15" s="1195" t="str">
        <f>IF(Eigaben!C67=0,"",VLOOKUP(C13,Eigaben!$C$28:$V$1110,15,0))</f>
        <v>Rickenbach</v>
      </c>
      <c r="M15" s="1196"/>
      <c r="N15" s="1196"/>
      <c r="O15" s="1196"/>
      <c r="P15" s="1196"/>
      <c r="Q15" s="1196"/>
      <c r="R15" s="1196"/>
      <c r="S15" s="1197"/>
      <c r="T15" s="1195" t="str">
        <f>IF(Eigaben!C67=0,"",VLOOKUP(C13,Eigaben!$C$28:$V$110,16,0))</f>
        <v>Aegelsee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Eigaben!T67</f>
        <v>9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Reto Mähr</v>
      </c>
      <c r="B19" s="1362"/>
      <c r="C19" s="1362"/>
      <c r="D19" s="1362"/>
      <c r="E19" s="1362"/>
      <c r="F19" s="1363"/>
      <c r="G19" s="860" t="str">
        <f>IF(C16=0,"",VLOOKUP(C16,Schiri_25!A2:L181,9,1))</f>
        <v>+41 79 452 77 62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130" t="str">
        <f>IF(C16=0,"",VLOOKUP(C16,Schiri_25!A2:L181,12,1))</f>
        <v>rmaehr@bluewin.ch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0.77777777777777779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Eigaben!V67</f>
        <v>9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Eigaben!S67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99" priority="20" stopIfTrue="1" operator="greaterThan">
      <formula>$C$41</formula>
    </cfRule>
  </conditionalFormatting>
  <conditionalFormatting sqref="C41">
    <cfRule type="cellIs" dxfId="98" priority="10" stopIfTrue="1" operator="greaterThan">
      <formula>$A$41</formula>
    </cfRule>
    <cfRule type="cellIs" dxfId="97" priority="11" stopIfTrue="1" operator="greaterThan">
      <formula>$A$41</formula>
    </cfRule>
  </conditionalFormatting>
  <conditionalFormatting sqref="D41">
    <cfRule type="cellIs" dxfId="96" priority="19" stopIfTrue="1" operator="greaterThan">
      <formula>$F$41</formula>
    </cfRule>
  </conditionalFormatting>
  <conditionalFormatting sqref="F41">
    <cfRule type="cellIs" dxfId="95" priority="9" stopIfTrue="1" operator="greaterThan">
      <formula>$D$41</formula>
    </cfRule>
  </conditionalFormatting>
  <conditionalFormatting sqref="G41">
    <cfRule type="cellIs" dxfId="94" priority="18" stopIfTrue="1" operator="greaterThan">
      <formula>$I$41</formula>
    </cfRule>
  </conditionalFormatting>
  <conditionalFormatting sqref="I41">
    <cfRule type="cellIs" dxfId="93" priority="8" stopIfTrue="1" operator="greaterThan">
      <formula>$G$41</formula>
    </cfRule>
  </conditionalFormatting>
  <conditionalFormatting sqref="J41">
    <cfRule type="cellIs" dxfId="92" priority="17" stopIfTrue="1" operator="greaterThan">
      <formula>$L$41</formula>
    </cfRule>
  </conditionalFormatting>
  <conditionalFormatting sqref="L41">
    <cfRule type="cellIs" dxfId="91" priority="7" stopIfTrue="1" operator="greaterThan">
      <formula>$J$41</formula>
    </cfRule>
  </conditionalFormatting>
  <conditionalFormatting sqref="M41">
    <cfRule type="cellIs" dxfId="90" priority="16" stopIfTrue="1" operator="greaterThan">
      <formula>$O$41</formula>
    </cfRule>
  </conditionalFormatting>
  <conditionalFormatting sqref="O41">
    <cfRule type="cellIs" dxfId="89" priority="6" stopIfTrue="1" operator="greaterThan">
      <formula>$M$41</formula>
    </cfRule>
  </conditionalFormatting>
  <conditionalFormatting sqref="P41">
    <cfRule type="cellIs" dxfId="88" priority="15" stopIfTrue="1" operator="greaterThan">
      <formula>$R$41</formula>
    </cfRule>
  </conditionalFormatting>
  <conditionalFormatting sqref="R41">
    <cfRule type="cellIs" dxfId="87" priority="5" stopIfTrue="1" operator="greaterThan">
      <formula>$P$41</formula>
    </cfRule>
  </conditionalFormatting>
  <conditionalFormatting sqref="S41">
    <cfRule type="cellIs" dxfId="86" priority="14" stopIfTrue="1" operator="greaterThan">
      <formula>$U$41</formula>
    </cfRule>
  </conditionalFormatting>
  <conditionalFormatting sqref="U41">
    <cfRule type="cellIs" dxfId="85" priority="1" stopIfTrue="1" operator="greaterThan">
      <formula>$S$41</formula>
    </cfRule>
    <cfRule type="cellIs" dxfId="84" priority="4" stopIfTrue="1" operator="greaterThan">
      <formula>$U$41</formula>
    </cfRule>
  </conditionalFormatting>
  <conditionalFormatting sqref="V41">
    <cfRule type="cellIs" dxfId="83" priority="13" stopIfTrue="1" operator="greaterThan">
      <formula>$X$41</formula>
    </cfRule>
  </conditionalFormatting>
  <conditionalFormatting sqref="X41">
    <cfRule type="cellIs" dxfId="82" priority="3" stopIfTrue="1" operator="greaterThan">
      <formula>$V$41</formula>
    </cfRule>
  </conditionalFormatting>
  <conditionalFormatting sqref="Y41">
    <cfRule type="cellIs" dxfId="81" priority="12" stopIfTrue="1" operator="greaterThan">
      <formula>$AA$41</formula>
    </cfRule>
  </conditionalFormatting>
  <conditionalFormatting sqref="AA41">
    <cfRule type="cellIs" dxfId="80" priority="2" stopIfTrue="1" operator="greaterThan">
      <formula>$Y$41</formula>
    </cfRule>
  </conditionalFormatting>
  <hyperlinks>
    <hyperlink ref="R45" r:id="rId1" display="pabst@swissfaustball.ch" xr:uid="{00000000-0004-0000-43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108"/>
  <sheetViews>
    <sheetView workbookViewId="0">
      <selection sqref="A1:AD1"/>
    </sheetView>
  </sheetViews>
  <sheetFormatPr baseColWidth="10" defaultColWidth="10.81640625" defaultRowHeight="15.5"/>
  <cols>
    <col min="1" max="1" width="3.7265625" style="156" customWidth="1"/>
    <col min="2" max="2" width="2.7265625" hidden="1" customWidth="1"/>
    <col min="3" max="3" width="19.26953125" customWidth="1"/>
    <col min="4" max="4" width="2.7265625" customWidth="1"/>
    <col min="5" max="5" width="16.81640625" customWidth="1"/>
    <col min="6" max="6" width="4.7265625" style="20" customWidth="1"/>
    <col min="7" max="7" width="3.7265625" style="263" customWidth="1"/>
    <col min="8" max="8" width="4.7265625" hidden="1" customWidth="1"/>
    <col min="9" max="9" width="16.81640625" customWidth="1"/>
    <col min="10" max="10" width="2.7265625" customWidth="1"/>
    <col min="11" max="11" width="16.81640625" customWidth="1"/>
    <col min="12" max="12" width="4.7265625" style="20" customWidth="1"/>
    <col min="13" max="13" width="2.7265625" customWidth="1"/>
    <col min="14" max="14" width="3.26953125" customWidth="1"/>
    <col min="15" max="15" width="3.54296875" style="321" customWidth="1"/>
    <col min="16" max="16" width="16.81640625" customWidth="1"/>
    <col min="17" max="17" width="2.7265625" customWidth="1"/>
    <col min="18" max="18" width="16.81640625" customWidth="1"/>
    <col min="19" max="19" width="4.7265625" style="330" customWidth="1"/>
    <col min="20" max="20" width="2.7265625" customWidth="1"/>
    <col min="21" max="21" width="3.26953125" customWidth="1"/>
    <col min="22" max="22" width="3.7265625" style="170" customWidth="1"/>
    <col min="23" max="23" width="16.81640625" style="2" customWidth="1"/>
    <col min="24" max="24" width="2.7265625" style="2" customWidth="1"/>
    <col min="25" max="25" width="16.81640625" style="2" customWidth="1"/>
    <col min="26" max="26" width="3.7265625" customWidth="1"/>
    <col min="27" max="27" width="2.7265625" customWidth="1"/>
    <col min="28" max="28" width="3.26953125" customWidth="1"/>
    <col min="29" max="29" width="4.1796875" style="321" customWidth="1"/>
    <col min="30" max="30" width="16.81640625" customWidth="1"/>
    <col min="31" max="31" width="2.7265625" customWidth="1"/>
    <col min="32" max="32" width="16.81640625" customWidth="1"/>
    <col min="33" max="33" width="4.453125" customWidth="1"/>
    <col min="34" max="34" width="4.7265625" customWidth="1"/>
    <col min="35" max="51" width="3.7265625" customWidth="1"/>
  </cols>
  <sheetData>
    <row r="1" spans="1:35" ht="21.75" customHeight="1">
      <c r="A1" s="1014" t="str">
        <f>Eigaben!Z3</f>
        <v>37. Schweizer Cup Männer 2025</v>
      </c>
      <c r="B1" s="1014"/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  <c r="O1" s="1014"/>
      <c r="P1" s="1014"/>
      <c r="Q1" s="1014"/>
      <c r="R1" s="1014"/>
      <c r="S1" s="1014"/>
      <c r="T1" s="1014"/>
      <c r="U1" s="1014"/>
      <c r="V1" s="1014"/>
      <c r="W1" s="1014"/>
      <c r="X1" s="1014"/>
      <c r="Y1" s="1014"/>
      <c r="Z1" s="1014"/>
      <c r="AA1" s="1014"/>
      <c r="AB1" s="1014"/>
      <c r="AC1" s="1014"/>
      <c r="AD1" s="1014"/>
      <c r="AE1" s="350"/>
      <c r="AF1" s="182" t="s">
        <v>646</v>
      </c>
      <c r="AG1" s="328"/>
      <c r="AH1" s="328"/>
      <c r="AI1" s="328"/>
    </row>
    <row r="2" spans="1:35" ht="21.75" customHeight="1">
      <c r="A2" s="329"/>
      <c r="B2" s="329"/>
      <c r="C2" s="329"/>
      <c r="D2" s="329"/>
      <c r="E2" s="329"/>
      <c r="F2" s="329"/>
      <c r="G2" s="322"/>
      <c r="H2" s="329"/>
      <c r="I2" s="329"/>
      <c r="J2" s="329"/>
    </row>
    <row r="3" spans="1:35" ht="27" customHeight="1">
      <c r="A3" s="329"/>
      <c r="B3" s="329"/>
      <c r="C3" s="329"/>
      <c r="D3" s="329"/>
      <c r="E3" s="329"/>
      <c r="F3" s="329"/>
      <c r="G3" s="322"/>
      <c r="H3" s="329"/>
      <c r="I3" s="329"/>
      <c r="J3" s="329"/>
    </row>
    <row r="4" spans="1:35" ht="19.5" customHeight="1">
      <c r="A4" s="331"/>
      <c r="B4" s="1036">
        <f>Eigaben!Z8</f>
        <v>45754</v>
      </c>
      <c r="C4" s="1036"/>
      <c r="D4" s="352" t="s">
        <v>654</v>
      </c>
      <c r="E4" s="1037">
        <f>Eigaben!AA8</f>
        <v>45772</v>
      </c>
      <c r="F4" s="1037"/>
      <c r="G4" s="1038">
        <f>Eigaben!Z9</f>
        <v>45782</v>
      </c>
      <c r="H4" s="1038"/>
      <c r="I4" s="1038"/>
      <c r="J4" s="351" t="s">
        <v>654</v>
      </c>
      <c r="K4" s="1037">
        <f>Eigaben!AA9</f>
        <v>45821</v>
      </c>
      <c r="L4" s="1037"/>
      <c r="M4" s="156"/>
      <c r="N4" s="156"/>
      <c r="O4" s="1038">
        <f>Eigaben!Z10</f>
        <v>45831</v>
      </c>
      <c r="P4" s="1038"/>
      <c r="Q4" s="353" t="s">
        <v>654</v>
      </c>
      <c r="R4" s="1037">
        <f>Eigaben!AA10</f>
        <v>45856</v>
      </c>
      <c r="S4" s="1037"/>
      <c r="T4" s="156"/>
      <c r="U4" s="156"/>
      <c r="V4" s="1038">
        <f>Eigaben!Z11</f>
        <v>45866</v>
      </c>
      <c r="W4" s="1038"/>
      <c r="X4" s="351" t="s">
        <v>654</v>
      </c>
      <c r="Y4" s="1037">
        <f>Eigaben!AA11</f>
        <v>45884</v>
      </c>
      <c r="Z4" s="1037"/>
      <c r="AA4" s="156"/>
      <c r="AB4" s="156"/>
      <c r="AC4" s="1038">
        <f>Eigaben!Z12</f>
        <v>45887</v>
      </c>
      <c r="AD4" s="1038"/>
      <c r="AE4" s="351" t="s">
        <v>654</v>
      </c>
      <c r="AF4" s="1037">
        <f>Eigaben!AA12</f>
        <v>45905</v>
      </c>
      <c r="AG4" s="1037"/>
      <c r="AH4" s="179"/>
    </row>
    <row r="5" spans="1:35" ht="9" customHeight="1">
      <c r="A5" s="322"/>
      <c r="B5" s="322"/>
      <c r="C5" s="322"/>
      <c r="D5" s="322"/>
      <c r="E5" s="9"/>
      <c r="F5" s="9"/>
      <c r="G5" s="481"/>
      <c r="H5" s="9"/>
      <c r="I5" s="9"/>
      <c r="J5" s="9"/>
      <c r="K5" s="332"/>
      <c r="L5" s="9"/>
      <c r="M5" s="9"/>
      <c r="N5" s="9"/>
      <c r="O5" s="156"/>
      <c r="P5" s="9"/>
      <c r="Q5" s="9"/>
      <c r="R5" s="9"/>
      <c r="S5" s="183"/>
      <c r="T5" s="9"/>
      <c r="U5" s="9"/>
      <c r="V5" s="323"/>
      <c r="W5" s="333"/>
      <c r="X5" s="333"/>
      <c r="Y5" s="333"/>
      <c r="Z5" s="9"/>
      <c r="AA5" s="9"/>
      <c r="AB5" s="9"/>
      <c r="AC5" s="156"/>
      <c r="AD5" s="9"/>
      <c r="AE5" s="9"/>
      <c r="AF5" s="9"/>
      <c r="AG5" s="20"/>
      <c r="AH5" s="20"/>
    </row>
    <row r="6" spans="1:35" ht="17.25" customHeight="1">
      <c r="A6" s="322"/>
      <c r="B6" s="322"/>
      <c r="C6" s="323" t="s">
        <v>612</v>
      </c>
      <c r="D6" s="323"/>
      <c r="F6" s="323"/>
      <c r="G6" s="397"/>
      <c r="H6" s="323"/>
      <c r="I6" s="1010" t="s">
        <v>647</v>
      </c>
      <c r="J6" s="1010"/>
      <c r="K6" s="1010"/>
      <c r="L6" s="323"/>
      <c r="M6" s="323"/>
      <c r="N6" s="323"/>
      <c r="O6" s="156"/>
      <c r="P6" s="323" t="s">
        <v>648</v>
      </c>
      <c r="Q6" s="323"/>
      <c r="R6" s="323"/>
      <c r="S6" s="156"/>
      <c r="T6" s="323"/>
      <c r="U6" s="323"/>
      <c r="V6" s="323"/>
      <c r="W6" s="334" t="s">
        <v>649</v>
      </c>
      <c r="X6" s="334"/>
      <c r="Y6" s="334"/>
      <c r="Z6" s="323"/>
      <c r="AA6" s="323"/>
      <c r="AB6" s="323"/>
      <c r="AC6" s="156"/>
      <c r="AD6" s="323" t="s">
        <v>650</v>
      </c>
      <c r="AE6" s="323"/>
      <c r="AF6" s="323"/>
      <c r="AG6" s="20"/>
      <c r="AH6" s="20"/>
    </row>
    <row r="7" spans="1:35" ht="5.25" customHeight="1" thickBot="1">
      <c r="A7" s="321"/>
      <c r="B7" s="20"/>
      <c r="C7" s="20"/>
      <c r="D7" s="20"/>
      <c r="E7" s="20"/>
      <c r="H7" s="20"/>
      <c r="I7" s="20"/>
      <c r="J7" s="20"/>
      <c r="K7" s="335"/>
      <c r="M7" s="20"/>
      <c r="N7" s="20"/>
      <c r="P7" s="20"/>
      <c r="Q7" s="20"/>
      <c r="R7" s="20"/>
      <c r="T7" s="20"/>
      <c r="U7" s="20"/>
      <c r="W7" s="319"/>
      <c r="X7" s="319"/>
      <c r="Y7" s="319"/>
      <c r="Z7" s="20"/>
      <c r="AA7" s="20"/>
      <c r="AB7" s="20"/>
      <c r="AD7" s="20"/>
      <c r="AE7" s="20"/>
      <c r="AF7" s="20"/>
      <c r="AG7" s="20"/>
      <c r="AH7" s="20"/>
    </row>
    <row r="8" spans="1:35" ht="8.15" customHeight="1">
      <c r="A8" s="962" t="s">
        <v>1</v>
      </c>
      <c r="B8" s="1028"/>
      <c r="C8" s="1032" t="str">
        <f>IF(Eigaben!H6=0,"",Eigaben!H6)</f>
        <v>STV Töss ( 2. Liga )</v>
      </c>
      <c r="D8" s="1033"/>
      <c r="E8" s="1033"/>
      <c r="F8" s="972">
        <f>IF(Eigaben!$L6=0,"",Eigaben!$L6)</f>
        <v>4</v>
      </c>
      <c r="G8" s="962">
        <v>1</v>
      </c>
      <c r="H8" s="947">
        <f>Eigaben!F28</f>
        <v>56</v>
      </c>
      <c r="I8" s="898" t="str">
        <f>IF(H8=0," ",VLOOKUP($H8,Eigaben!$Y$17:$Z$94,2,1))</f>
        <v>TSV Jona 1( NLB O )</v>
      </c>
      <c r="J8" s="900"/>
      <c r="K8" s="900"/>
      <c r="L8" s="893">
        <f>Eigaben!L28</f>
        <v>5</v>
      </c>
      <c r="M8" s="884"/>
      <c r="N8" s="34"/>
      <c r="P8" s="34"/>
      <c r="Q8" s="34"/>
      <c r="R8" s="34"/>
      <c r="T8" s="34"/>
      <c r="U8" s="34"/>
      <c r="W8" s="335"/>
      <c r="X8" s="335"/>
      <c r="Y8" s="335"/>
      <c r="Z8" s="34"/>
      <c r="AA8" s="34"/>
      <c r="AB8" s="34"/>
      <c r="AD8" s="34"/>
      <c r="AE8" s="34"/>
      <c r="AF8" s="34"/>
      <c r="AG8" s="34"/>
      <c r="AH8" s="20"/>
    </row>
    <row r="9" spans="1:35" ht="8.15" customHeight="1" thickBot="1">
      <c r="A9" s="962"/>
      <c r="B9" s="1028"/>
      <c r="C9" s="1034"/>
      <c r="D9" s="1035"/>
      <c r="E9" s="1035"/>
      <c r="F9" s="992"/>
      <c r="G9" s="962"/>
      <c r="H9" s="947"/>
      <c r="I9" s="990"/>
      <c r="J9" s="991"/>
      <c r="K9" s="991"/>
      <c r="L9" s="937"/>
      <c r="M9" s="885"/>
      <c r="N9" s="34"/>
      <c r="P9" s="34"/>
      <c r="Q9" s="34"/>
      <c r="R9" s="34"/>
      <c r="T9" s="34"/>
      <c r="U9" s="34"/>
      <c r="W9" s="335"/>
      <c r="X9" s="335"/>
      <c r="Y9" s="335"/>
      <c r="Z9" s="34"/>
      <c r="AA9" s="34"/>
      <c r="AB9" s="34"/>
      <c r="AD9" s="34"/>
      <c r="AE9" s="34"/>
      <c r="AF9" s="34"/>
      <c r="AG9" s="34"/>
      <c r="AH9" s="20"/>
    </row>
    <row r="10" spans="1:35" ht="8.15" customHeight="1" thickBot="1">
      <c r="A10" s="962"/>
      <c r="B10" s="1028"/>
      <c r="C10" s="1034" t="str">
        <f>IF(Eigaben!K6=0,"",Eigaben!K6)</f>
        <v>SUS Widnau   ( 2. Liga F )</v>
      </c>
      <c r="D10" s="1035"/>
      <c r="E10" s="1035"/>
      <c r="F10" s="992">
        <f>IF(Eigaben!$N6=0,"",Eigaben!$N6)</f>
        <v>5</v>
      </c>
      <c r="G10" s="962"/>
      <c r="H10" s="947">
        <f>Eigaben!G28</f>
        <v>71</v>
      </c>
      <c r="I10" s="990" t="str">
        <f>IF(H10=0," ",VLOOKUP($H10,Eigaben!$Y$17:$Z$94,2,1))</f>
        <v>STV Wigoltingen   ( NLA )</v>
      </c>
      <c r="J10" s="991"/>
      <c r="K10" s="991"/>
      <c r="L10" s="894">
        <f>IF(Eigaben!$N28=0,"",Eigaben!$N28)</f>
        <v>2</v>
      </c>
      <c r="M10" s="1024"/>
      <c r="N10" s="336"/>
      <c r="P10" s="34"/>
      <c r="Q10" s="34"/>
      <c r="R10" s="34"/>
      <c r="T10" s="34"/>
      <c r="U10" s="34"/>
      <c r="W10" s="335"/>
      <c r="X10" s="335"/>
      <c r="Y10" s="335"/>
      <c r="Z10" s="34"/>
      <c r="AA10" s="34"/>
      <c r="AB10" s="34"/>
      <c r="AD10" s="34"/>
      <c r="AE10" s="34"/>
      <c r="AF10" s="34"/>
      <c r="AG10" s="34"/>
      <c r="AH10" s="20"/>
    </row>
    <row r="11" spans="1:35" ht="8.15" customHeight="1" thickBot="1">
      <c r="A11" s="962"/>
      <c r="B11" s="1028"/>
      <c r="C11" s="1039"/>
      <c r="D11" s="1040"/>
      <c r="E11" s="1040"/>
      <c r="F11" s="976"/>
      <c r="G11" s="962"/>
      <c r="H11" s="947"/>
      <c r="I11" s="1029"/>
      <c r="J11" s="1030"/>
      <c r="K11" s="1030"/>
      <c r="L11" s="937"/>
      <c r="M11" s="947"/>
      <c r="N11" s="337"/>
      <c r="O11" s="923">
        <v>17</v>
      </c>
      <c r="P11" s="887" t="str">
        <f>IF($L8=$L10," ",IF($L8&gt;$L10,$I8,$I10))</f>
        <v>TSV Jona 1( NLB O )</v>
      </c>
      <c r="Q11" s="888"/>
      <c r="R11" s="889"/>
      <c r="S11" s="893">
        <f>IF(Eigaben!$N50=0,"",Eigaben!$N$50)</f>
        <v>1</v>
      </c>
      <c r="T11" s="896"/>
      <c r="U11" s="34"/>
      <c r="W11" s="335"/>
      <c r="X11" s="335"/>
      <c r="Y11" s="335"/>
      <c r="Z11" s="34"/>
      <c r="AA11" s="34"/>
      <c r="AB11" s="34"/>
      <c r="AD11" s="34"/>
      <c r="AE11" s="34"/>
      <c r="AF11" s="34"/>
      <c r="AG11" s="34"/>
      <c r="AH11" s="20"/>
    </row>
    <row r="12" spans="1:35" ht="10" customHeight="1" thickBot="1">
      <c r="A12" s="321"/>
      <c r="B12" s="34"/>
      <c r="C12" s="34"/>
      <c r="D12" s="34"/>
      <c r="E12" s="34"/>
      <c r="F12" s="34"/>
      <c r="G12" s="321"/>
      <c r="H12" s="34"/>
      <c r="I12" s="335"/>
      <c r="J12" s="335"/>
      <c r="K12" s="335"/>
      <c r="L12" s="182"/>
      <c r="M12" s="34"/>
      <c r="N12" s="34"/>
      <c r="O12" s="923"/>
      <c r="P12" s="890"/>
      <c r="Q12" s="891"/>
      <c r="R12" s="892"/>
      <c r="S12" s="894"/>
      <c r="T12" s="908"/>
      <c r="U12" s="34"/>
      <c r="W12" s="335"/>
      <c r="X12" s="335"/>
      <c r="Y12" s="335"/>
      <c r="Z12" s="34"/>
      <c r="AA12" s="34"/>
      <c r="AB12" s="34"/>
      <c r="AC12" s="338"/>
      <c r="AD12" s="338"/>
      <c r="AE12" s="338"/>
      <c r="AF12" s="338"/>
      <c r="AG12" s="34"/>
      <c r="AH12" s="20"/>
    </row>
    <row r="13" spans="1:35" ht="10" customHeight="1" thickBot="1">
      <c r="A13" s="321"/>
      <c r="B13" s="34"/>
      <c r="C13" s="34"/>
      <c r="D13" s="34"/>
      <c r="E13" s="34"/>
      <c r="F13" s="34"/>
      <c r="G13" s="321"/>
      <c r="H13" s="34"/>
      <c r="I13" s="335"/>
      <c r="J13" s="335"/>
      <c r="K13" s="335"/>
      <c r="L13" s="182"/>
      <c r="M13" s="34"/>
      <c r="N13" s="339"/>
      <c r="O13" s="923"/>
      <c r="P13" s="911" t="str">
        <f>IF($L14=$L16," ",IF($L14&gt;$L16,$I14,$I16))</f>
        <v>STV Dozwil ( NLB O )</v>
      </c>
      <c r="Q13" s="912"/>
      <c r="R13" s="913"/>
      <c r="S13" s="893">
        <f>IF(Eigaben!$L50=0,"",Eigaben!$L$50)</f>
        <v>5</v>
      </c>
      <c r="T13" s="896" t="s">
        <v>620</v>
      </c>
      <c r="U13" s="336"/>
      <c r="W13" s="335"/>
      <c r="X13" s="335"/>
      <c r="Y13" s="335"/>
      <c r="Z13" s="34"/>
      <c r="AA13" s="34"/>
      <c r="AB13" s="34"/>
      <c r="AC13" s="338"/>
      <c r="AD13" s="338"/>
      <c r="AE13" s="338"/>
      <c r="AF13" s="338"/>
      <c r="AG13" s="34"/>
      <c r="AH13" s="20"/>
    </row>
    <row r="14" spans="1:35" ht="8.15" customHeight="1" thickBot="1">
      <c r="A14" s="962" t="s">
        <v>2</v>
      </c>
      <c r="B14" s="884"/>
      <c r="C14" s="1032" t="str">
        <f>Eigaben!H7</f>
        <v>STV Elgg ( 2. Liga )</v>
      </c>
      <c r="D14" s="1033"/>
      <c r="E14" s="1033"/>
      <c r="F14" s="972">
        <v>0</v>
      </c>
      <c r="G14" s="962">
        <v>2</v>
      </c>
      <c r="H14" s="947">
        <v>11</v>
      </c>
      <c r="I14" s="898" t="str">
        <f>IF(H14=0," ",VLOOKUP($H14,Eigaben!$Y$17:$Z$94,2,1))</f>
        <v xml:space="preserve"> </v>
      </c>
      <c r="J14" s="900"/>
      <c r="K14" s="900"/>
      <c r="L14" s="893">
        <v>0</v>
      </c>
      <c r="M14" s="884"/>
      <c r="N14" s="336"/>
      <c r="O14" s="923"/>
      <c r="P14" s="934"/>
      <c r="Q14" s="915"/>
      <c r="R14" s="935"/>
      <c r="S14" s="937"/>
      <c r="T14" s="896"/>
      <c r="U14" s="336"/>
      <c r="W14" s="335"/>
      <c r="X14" s="335"/>
      <c r="Y14" s="335"/>
      <c r="Z14" s="34"/>
      <c r="AA14" s="34"/>
      <c r="AB14" s="34"/>
      <c r="AC14" s="338"/>
      <c r="AD14" s="338"/>
      <c r="AE14" s="338"/>
      <c r="AF14" s="338"/>
      <c r="AG14" s="34"/>
      <c r="AH14" s="20"/>
    </row>
    <row r="15" spans="1:35" ht="8.15" customHeight="1" thickBot="1">
      <c r="A15" s="962"/>
      <c r="B15" s="884"/>
      <c r="C15" s="1034"/>
      <c r="D15" s="1035"/>
      <c r="E15" s="1035"/>
      <c r="F15" s="992"/>
      <c r="G15" s="962"/>
      <c r="H15" s="947"/>
      <c r="I15" s="990"/>
      <c r="J15" s="991"/>
      <c r="K15" s="991"/>
      <c r="L15" s="894"/>
      <c r="M15" s="885"/>
      <c r="N15" s="336"/>
      <c r="P15" s="34"/>
      <c r="Q15" s="34"/>
      <c r="R15" s="34"/>
      <c r="S15" s="172"/>
      <c r="T15" s="34"/>
      <c r="U15" s="336"/>
      <c r="W15" s="335"/>
      <c r="X15" s="335"/>
      <c r="Y15" s="335"/>
      <c r="Z15" s="34"/>
      <c r="AA15" s="34"/>
      <c r="AB15" s="34"/>
      <c r="AD15" s="34"/>
      <c r="AE15" s="34"/>
      <c r="AF15" s="34"/>
      <c r="AG15" s="34"/>
      <c r="AH15" s="20"/>
    </row>
    <row r="16" spans="1:35" ht="8.15" customHeight="1" thickBot="1">
      <c r="A16" s="962"/>
      <c r="B16" s="884"/>
      <c r="C16" s="1034" t="str">
        <f>Eigaben!K7</f>
        <v>STV Müllheim ( 2. L )</v>
      </c>
      <c r="D16" s="1035"/>
      <c r="E16" s="1035"/>
      <c r="F16" s="992" t="str">
        <f>IF(Eigaben!$N7=0,"",Eigaben!$N7)</f>
        <v/>
      </c>
      <c r="G16" s="962"/>
      <c r="H16" s="947">
        <f>Eigaben!G29</f>
        <v>54</v>
      </c>
      <c r="I16" s="990" t="str">
        <f>IF(H16=0," ",VLOOKUP($H16,Eigaben!$Y$17:$Z$94,2,1))</f>
        <v>STV Dozwil ( NLB O )</v>
      </c>
      <c r="J16" s="991"/>
      <c r="K16" s="991"/>
      <c r="L16" s="894">
        <f>Eigaben!N29</f>
        <v>5</v>
      </c>
      <c r="M16" s="884"/>
      <c r="N16" s="34"/>
      <c r="P16" s="34"/>
      <c r="Q16" s="34"/>
      <c r="R16" s="34"/>
      <c r="S16" s="172"/>
      <c r="T16" s="34"/>
      <c r="U16" s="336"/>
      <c r="W16" s="335"/>
      <c r="X16" s="335"/>
      <c r="Y16" s="335"/>
      <c r="Z16" s="34"/>
      <c r="AA16" s="34"/>
      <c r="AB16" s="34"/>
      <c r="AD16" s="34"/>
      <c r="AE16" s="34"/>
      <c r="AF16" s="34"/>
      <c r="AG16" s="34"/>
      <c r="AH16" s="20"/>
    </row>
    <row r="17" spans="1:34" ht="8.15" customHeight="1" thickBot="1">
      <c r="A17" s="962"/>
      <c r="B17" s="884"/>
      <c r="C17" s="1039"/>
      <c r="D17" s="1040"/>
      <c r="E17" s="1040"/>
      <c r="F17" s="976"/>
      <c r="G17" s="962"/>
      <c r="H17" s="947"/>
      <c r="I17" s="919"/>
      <c r="J17" s="921"/>
      <c r="K17" s="921"/>
      <c r="L17" s="922"/>
      <c r="M17" s="884"/>
      <c r="N17" s="34"/>
      <c r="P17" s="34"/>
      <c r="Q17" s="34"/>
      <c r="R17" s="34"/>
      <c r="S17" s="172"/>
      <c r="T17" s="34"/>
      <c r="U17" s="337"/>
      <c r="V17" s="923">
        <v>25</v>
      </c>
      <c r="W17" s="887" t="str">
        <f>IF($S11=$S13," ",IF($S11&gt;$S13,$P11,$P13))</f>
        <v>STV Dozwil ( NLB O )</v>
      </c>
      <c r="X17" s="888"/>
      <c r="Y17" s="889"/>
      <c r="Z17" s="893">
        <f>IF(Eigaben!$L64=0,"",Eigaben!$L$64)</f>
        <v>1</v>
      </c>
      <c r="AA17" s="896" t="s">
        <v>620</v>
      </c>
      <c r="AB17" s="34"/>
      <c r="AD17" s="34"/>
      <c r="AE17" s="34"/>
      <c r="AF17" s="34"/>
      <c r="AG17" s="34"/>
      <c r="AH17" s="20"/>
    </row>
    <row r="18" spans="1:34" ht="10" customHeight="1" thickBot="1">
      <c r="A18" s="321"/>
      <c r="B18" s="34"/>
      <c r="C18" s="34"/>
      <c r="D18" s="34"/>
      <c r="E18" s="34"/>
      <c r="F18" s="34"/>
      <c r="G18" s="321"/>
      <c r="H18" s="34"/>
      <c r="I18" s="335"/>
      <c r="J18" s="335"/>
      <c r="K18" s="335"/>
      <c r="L18" s="182"/>
      <c r="M18" s="34"/>
      <c r="N18" s="34"/>
      <c r="P18" s="34"/>
      <c r="Q18" s="34"/>
      <c r="R18" s="34"/>
      <c r="S18" s="172"/>
      <c r="T18" s="34"/>
      <c r="U18" s="34"/>
      <c r="V18" s="923"/>
      <c r="W18" s="890"/>
      <c r="X18" s="891"/>
      <c r="Y18" s="892"/>
      <c r="Z18" s="894"/>
      <c r="AA18" s="908"/>
      <c r="AB18" s="34"/>
      <c r="AD18" s="34"/>
      <c r="AE18" s="34"/>
      <c r="AF18" s="34"/>
      <c r="AG18" s="34"/>
      <c r="AH18" s="20"/>
    </row>
    <row r="19" spans="1:34" ht="10" customHeight="1" thickBot="1">
      <c r="A19" s="321"/>
      <c r="B19" s="34"/>
      <c r="C19" s="34"/>
      <c r="D19" s="34"/>
      <c r="E19" s="34"/>
      <c r="F19" s="34"/>
      <c r="G19" s="321"/>
      <c r="H19" s="34"/>
      <c r="I19" s="335"/>
      <c r="J19" s="335"/>
      <c r="K19" s="335"/>
      <c r="L19" s="182"/>
      <c r="M19" s="34"/>
      <c r="N19" s="34"/>
      <c r="P19" s="34"/>
      <c r="Q19" s="34"/>
      <c r="R19" s="34"/>
      <c r="S19" s="172"/>
      <c r="T19" s="34"/>
      <c r="U19" s="339"/>
      <c r="V19" s="923"/>
      <c r="W19" s="911" t="str">
        <f>IF($S23=$S25," ",IF($S23&gt;$S25,$P23,$P25))</f>
        <v>SVD Diepoldsau-Schmitter (NLA)</v>
      </c>
      <c r="X19" s="912"/>
      <c r="Y19" s="913"/>
      <c r="Z19" s="893">
        <f>IF(Eigaben!$N64=0,"",Eigaben!$N$64)</f>
        <v>5</v>
      </c>
      <c r="AA19" s="918"/>
      <c r="AB19" s="336"/>
      <c r="AD19" s="34"/>
      <c r="AE19" s="34"/>
      <c r="AF19" s="34"/>
      <c r="AG19" s="34"/>
      <c r="AH19" s="20"/>
    </row>
    <row r="20" spans="1:34" ht="8.15" customHeight="1" thickBot="1">
      <c r="A20" s="962" t="s">
        <v>615</v>
      </c>
      <c r="B20" s="884"/>
      <c r="C20" s="1032" t="str">
        <f>Eigaben!H8</f>
        <v/>
      </c>
      <c r="D20" s="1033"/>
      <c r="E20" s="1033"/>
      <c r="F20" s="972" t="str">
        <f>IF(Eigaben!$L8=0,"",Eigaben!$L8)</f>
        <v/>
      </c>
      <c r="G20" s="962">
        <v>3</v>
      </c>
      <c r="H20" s="947">
        <v>41</v>
      </c>
      <c r="I20" s="898" t="str">
        <f>IF(H20=0," ",VLOOKUP($H20,Eigaben!$Y$17:$Z$94,2,1))</f>
        <v>FBV Ettenhausen ( 2. Liga S )</v>
      </c>
      <c r="J20" s="900"/>
      <c r="K20" s="900"/>
      <c r="L20" s="893">
        <f>IF(Eigaben!L30=0,"",Eigaben!L30)</f>
        <v>3</v>
      </c>
      <c r="M20" s="884"/>
      <c r="N20" s="34"/>
      <c r="P20" s="34"/>
      <c r="Q20" s="34"/>
      <c r="R20" s="34"/>
      <c r="S20" s="172"/>
      <c r="T20" s="34"/>
      <c r="U20" s="336"/>
      <c r="V20" s="923"/>
      <c r="W20" s="914"/>
      <c r="X20" s="915"/>
      <c r="Y20" s="916"/>
      <c r="Z20" s="1011"/>
      <c r="AA20" s="904"/>
      <c r="AB20" s="336"/>
      <c r="AD20" s="34"/>
      <c r="AE20" s="34"/>
      <c r="AF20" s="34"/>
      <c r="AG20" s="34"/>
      <c r="AH20" s="20"/>
    </row>
    <row r="21" spans="1:34" ht="8.15" customHeight="1" thickBot="1">
      <c r="A21" s="962"/>
      <c r="B21" s="884"/>
      <c r="C21" s="1034"/>
      <c r="D21" s="1035"/>
      <c r="E21" s="1035"/>
      <c r="F21" s="992"/>
      <c r="G21" s="962"/>
      <c r="H21" s="947"/>
      <c r="I21" s="990"/>
      <c r="J21" s="991"/>
      <c r="K21" s="991"/>
      <c r="L21" s="894"/>
      <c r="M21" s="885"/>
      <c r="N21" s="34"/>
      <c r="P21" s="34"/>
      <c r="Q21" s="34"/>
      <c r="R21" s="34"/>
      <c r="S21" s="172"/>
      <c r="T21" s="34"/>
      <c r="U21" s="336"/>
      <c r="W21" s="335"/>
      <c r="X21" s="335"/>
      <c r="Y21" s="335"/>
      <c r="Z21" s="34"/>
      <c r="AA21" s="34"/>
      <c r="AB21" s="336"/>
      <c r="AD21" s="34"/>
      <c r="AE21" s="34"/>
      <c r="AF21" s="34"/>
      <c r="AG21" s="34"/>
      <c r="AH21" s="20"/>
    </row>
    <row r="22" spans="1:34" ht="8.15" customHeight="1" thickBot="1">
      <c r="A22" s="962"/>
      <c r="B22" s="884"/>
      <c r="C22" s="1034" t="str">
        <f>Eigaben!K8</f>
        <v/>
      </c>
      <c r="D22" s="1035"/>
      <c r="E22" s="1035"/>
      <c r="F22" s="992" t="str">
        <f>IF(Eigaben!$N8=0,"",Eigaben!$N8)</f>
        <v/>
      </c>
      <c r="G22" s="962"/>
      <c r="H22" s="947">
        <f>Eigaben!G30</f>
        <v>59</v>
      </c>
      <c r="I22" s="990" t="str">
        <f>IF(H22=0," ",VLOOKUP($H22,Eigaben!$Y$17:$Z$94,2,1))</f>
        <v>STV Rickenbach-Wilen 2 ( NLB )</v>
      </c>
      <c r="J22" s="991"/>
      <c r="K22" s="991"/>
      <c r="L22" s="894">
        <f>IF(Eigaben!N30=0,"",Eigaben!N30)</f>
        <v>5</v>
      </c>
      <c r="M22" s="884"/>
      <c r="N22" s="336"/>
      <c r="P22" s="34"/>
      <c r="Q22" s="34"/>
      <c r="R22" s="34"/>
      <c r="S22" s="172"/>
      <c r="T22" s="34"/>
      <c r="U22" s="336"/>
      <c r="W22" s="335"/>
      <c r="X22" s="335"/>
      <c r="Y22" s="335"/>
      <c r="Z22" s="34"/>
      <c r="AA22" s="34"/>
      <c r="AB22" s="336"/>
      <c r="AD22" s="34"/>
      <c r="AE22" s="34"/>
      <c r="AF22" s="34"/>
      <c r="AG22" s="34"/>
      <c r="AH22" s="20"/>
    </row>
    <row r="23" spans="1:34" ht="8.15" customHeight="1" thickBot="1">
      <c r="A23" s="962"/>
      <c r="B23" s="884"/>
      <c r="C23" s="1039"/>
      <c r="D23" s="1040"/>
      <c r="E23" s="1040"/>
      <c r="F23" s="976"/>
      <c r="G23" s="962"/>
      <c r="H23" s="947"/>
      <c r="I23" s="919"/>
      <c r="J23" s="921"/>
      <c r="K23" s="921"/>
      <c r="L23" s="922"/>
      <c r="M23" s="884"/>
      <c r="N23" s="337"/>
      <c r="O23" s="923">
        <v>18</v>
      </c>
      <c r="P23" s="887" t="str">
        <f>IF($L20=$L22," ",IF($L20&gt;$L22,$I20,$I22))</f>
        <v>STV Rickenbach-Wilen 2 ( NLB )</v>
      </c>
      <c r="Q23" s="888"/>
      <c r="R23" s="889"/>
      <c r="S23" s="893">
        <f>IF(Eigaben!$L51=0,"",Eigaben!$L$51)</f>
        <v>2</v>
      </c>
      <c r="T23" s="904"/>
      <c r="U23" s="336"/>
      <c r="W23" s="335"/>
      <c r="X23" s="335"/>
      <c r="Y23" s="335"/>
      <c r="Z23" s="34"/>
      <c r="AA23" s="34"/>
      <c r="AB23" s="336"/>
      <c r="AD23" s="34"/>
      <c r="AE23" s="34"/>
      <c r="AF23" s="34"/>
      <c r="AG23" s="34"/>
      <c r="AH23" s="20"/>
    </row>
    <row r="24" spans="1:34" ht="10" customHeight="1" thickBot="1">
      <c r="A24" s="321"/>
      <c r="B24" s="34"/>
      <c r="C24" s="34"/>
      <c r="D24" s="34"/>
      <c r="E24" s="34"/>
      <c r="F24" s="34"/>
      <c r="G24" s="321"/>
      <c r="H24" s="34"/>
      <c r="I24" s="335"/>
      <c r="J24" s="335"/>
      <c r="K24" s="335"/>
      <c r="L24" s="182"/>
      <c r="M24" s="34"/>
      <c r="N24" s="34"/>
      <c r="O24" s="923"/>
      <c r="P24" s="890"/>
      <c r="Q24" s="891"/>
      <c r="R24" s="892"/>
      <c r="S24" s="894"/>
      <c r="T24" s="905"/>
      <c r="U24" s="336"/>
      <c r="W24" s="335"/>
      <c r="X24" s="335"/>
      <c r="Y24" s="335"/>
      <c r="Z24" s="34"/>
      <c r="AA24" s="34"/>
      <c r="AB24" s="336"/>
      <c r="AD24" s="34"/>
      <c r="AE24" s="34"/>
      <c r="AF24" s="34"/>
      <c r="AG24" s="34"/>
      <c r="AH24" s="20"/>
    </row>
    <row r="25" spans="1:34" ht="10" customHeight="1" thickBot="1">
      <c r="A25" s="321"/>
      <c r="B25" s="34"/>
      <c r="C25" s="34"/>
      <c r="D25" s="34"/>
      <c r="E25" s="34"/>
      <c r="F25" s="34"/>
      <c r="G25" s="321"/>
      <c r="H25" s="34"/>
      <c r="I25" s="335"/>
      <c r="J25" s="335"/>
      <c r="K25" s="335"/>
      <c r="L25" s="182"/>
      <c r="M25" s="34"/>
      <c r="N25" s="339"/>
      <c r="O25" s="923"/>
      <c r="P25" s="911" t="str">
        <f>IF($L26=$L28," ",IF($L26&gt;$L28,$I26,$I28))</f>
        <v>SVD Diepoldsau-Schmitter (NLA)</v>
      </c>
      <c r="Q25" s="912"/>
      <c r="R25" s="913"/>
      <c r="S25" s="894">
        <f>IF(Eigaben!$N51=0,"",Eigaben!$N51)</f>
        <v>5</v>
      </c>
      <c r="T25" s="895" t="s">
        <v>620</v>
      </c>
      <c r="U25" s="34"/>
      <c r="W25" s="335"/>
      <c r="X25" s="335"/>
      <c r="Y25" s="335"/>
      <c r="Z25" s="34"/>
      <c r="AA25" s="34"/>
      <c r="AB25" s="336"/>
      <c r="AD25" s="34"/>
      <c r="AE25" s="34"/>
      <c r="AF25" s="34"/>
      <c r="AG25" s="34"/>
      <c r="AH25" s="20"/>
    </row>
    <row r="26" spans="1:34" ht="8.15" customHeight="1" thickBot="1">
      <c r="A26" s="962" t="s">
        <v>616</v>
      </c>
      <c r="B26" s="884"/>
      <c r="C26" s="1032" t="str">
        <f>Eigaben!H9</f>
        <v/>
      </c>
      <c r="D26" s="1033"/>
      <c r="E26" s="1033"/>
      <c r="F26" s="972" t="str">
        <f>IF(Eigaben!$L9=0,"",Eigaben!$L9)</f>
        <v/>
      </c>
      <c r="G26" s="962">
        <v>4</v>
      </c>
      <c r="H26" s="947">
        <f>Eigaben!F31</f>
        <v>55</v>
      </c>
      <c r="I26" s="898" t="str">
        <f>IF(H26=0," ",VLOOKUP($H26,Eigaben!$Y$17:$Z$94,2,1))</f>
        <v>FG Elgg-Ettenhausen 2 ( NLB O )</v>
      </c>
      <c r="J26" s="899"/>
      <c r="K26" s="900"/>
      <c r="L26" s="893">
        <f>IF(Eigaben!L31=0,"",Eigaben!L31)</f>
        <v>3</v>
      </c>
      <c r="M26" s="884"/>
      <c r="N26" s="336"/>
      <c r="O26" s="923"/>
      <c r="P26" s="914"/>
      <c r="Q26" s="915"/>
      <c r="R26" s="916"/>
      <c r="S26" s="922"/>
      <c r="T26" s="896"/>
      <c r="U26" s="34"/>
      <c r="W26" s="335"/>
      <c r="X26" s="335"/>
      <c r="Y26" s="335"/>
      <c r="Z26" s="34"/>
      <c r="AA26" s="34"/>
      <c r="AB26" s="336"/>
      <c r="AD26" s="34"/>
      <c r="AE26" s="34"/>
      <c r="AF26" s="34"/>
      <c r="AG26" s="34"/>
      <c r="AH26" s="20"/>
    </row>
    <row r="27" spans="1:34" ht="8.15" customHeight="1" thickBot="1">
      <c r="A27" s="962"/>
      <c r="B27" s="884"/>
      <c r="C27" s="1034"/>
      <c r="D27" s="1035"/>
      <c r="E27" s="1035"/>
      <c r="F27" s="992"/>
      <c r="G27" s="962"/>
      <c r="H27" s="947"/>
      <c r="I27" s="901"/>
      <c r="J27" s="902"/>
      <c r="K27" s="903"/>
      <c r="L27" s="894"/>
      <c r="M27" s="885"/>
      <c r="N27" s="336"/>
      <c r="P27" s="34"/>
      <c r="Q27" s="34"/>
      <c r="R27" s="34"/>
      <c r="S27" s="172"/>
      <c r="T27" s="34"/>
      <c r="U27" s="34"/>
      <c r="W27" s="335"/>
      <c r="X27" s="335"/>
      <c r="Y27" s="335"/>
      <c r="Z27" s="34"/>
      <c r="AA27" s="34"/>
      <c r="AB27" s="336"/>
      <c r="AD27" s="34"/>
      <c r="AE27" s="34"/>
      <c r="AF27" s="34"/>
      <c r="AG27" s="884"/>
      <c r="AH27" s="20"/>
    </row>
    <row r="28" spans="1:34" ht="8.15" customHeight="1" thickBot="1">
      <c r="A28" s="962"/>
      <c r="B28" s="884"/>
      <c r="C28" s="1034" t="str">
        <f>Eigaben!K9</f>
        <v/>
      </c>
      <c r="D28" s="1035"/>
      <c r="E28" s="1035"/>
      <c r="F28" s="992" t="str">
        <f>IF(Eigaben!$N9=0,"",Eigaben!$N9)</f>
        <v/>
      </c>
      <c r="G28" s="962"/>
      <c r="H28" s="947">
        <f>Eigaben!G31</f>
        <v>65</v>
      </c>
      <c r="I28" s="901" t="str">
        <f>IF(H28=0," ",VLOOKUP($H28,Eigaben!$Y$17:$Z$94,2,1))</f>
        <v>SVD Diepoldsau-Schmitter (NLA)</v>
      </c>
      <c r="J28" s="902"/>
      <c r="K28" s="903"/>
      <c r="L28" s="894">
        <f>IF(Eigaben!N31=0,"",Eigaben!N31)</f>
        <v>5</v>
      </c>
      <c r="M28" s="884"/>
      <c r="N28" s="34"/>
      <c r="P28" s="34"/>
      <c r="Q28" s="34"/>
      <c r="R28" s="34"/>
      <c r="S28" s="172"/>
      <c r="T28" s="34"/>
      <c r="U28" s="34"/>
      <c r="W28" s="335"/>
      <c r="X28" s="335"/>
      <c r="Y28" s="335"/>
      <c r="Z28" s="34"/>
      <c r="AA28" s="34"/>
      <c r="AB28" s="336"/>
      <c r="AD28" s="34"/>
      <c r="AE28" s="34"/>
      <c r="AF28" s="34"/>
      <c r="AG28" s="885"/>
      <c r="AH28" s="20"/>
    </row>
    <row r="29" spans="1:34" ht="8.15" customHeight="1" thickBot="1">
      <c r="A29" s="962"/>
      <c r="B29" s="884"/>
      <c r="C29" s="1039"/>
      <c r="D29" s="1040"/>
      <c r="E29" s="1040"/>
      <c r="F29" s="976"/>
      <c r="G29" s="962"/>
      <c r="H29" s="947"/>
      <c r="I29" s="919"/>
      <c r="J29" s="920"/>
      <c r="K29" s="921"/>
      <c r="L29" s="922"/>
      <c r="M29" s="884"/>
      <c r="N29" s="34"/>
      <c r="P29" s="34"/>
      <c r="Q29" s="34"/>
      <c r="R29" s="34"/>
      <c r="S29" s="172"/>
      <c r="T29" s="34"/>
      <c r="U29" s="34"/>
      <c r="W29" s="335"/>
      <c r="X29" s="335"/>
      <c r="Y29" s="335"/>
      <c r="Z29" s="34"/>
      <c r="AA29" s="34"/>
      <c r="AB29" s="337"/>
      <c r="AC29" s="923">
        <v>29</v>
      </c>
      <c r="AD29" s="887" t="str">
        <f>IF($Z17=$Z19," ",IF($Z17&gt;$Z19,$W17,$W19))</f>
        <v>SVD Diepoldsau-Schmitter (NLA)</v>
      </c>
      <c r="AE29" s="888"/>
      <c r="AF29" s="889"/>
      <c r="AG29" s="909">
        <f>Eigaben!L73</f>
        <v>1</v>
      </c>
      <c r="AH29" s="20"/>
    </row>
    <row r="30" spans="1:34" ht="10" customHeight="1">
      <c r="A30" s="321"/>
      <c r="B30" s="34"/>
      <c r="C30" s="34"/>
      <c r="D30" s="34"/>
      <c r="E30" s="34"/>
      <c r="F30" s="34"/>
      <c r="G30" s="321"/>
      <c r="H30" s="34"/>
      <c r="I30" s="335"/>
      <c r="J30" s="335"/>
      <c r="K30" s="335"/>
      <c r="L30" s="182"/>
      <c r="M30" s="34"/>
      <c r="N30" s="34"/>
      <c r="P30" s="34"/>
      <c r="Q30" s="34"/>
      <c r="R30" s="34"/>
      <c r="S30" s="172"/>
      <c r="T30" s="34"/>
      <c r="U30" s="34"/>
      <c r="W30" s="335"/>
      <c r="X30" s="335"/>
      <c r="Y30" s="335"/>
      <c r="Z30" s="34"/>
      <c r="AA30" s="34"/>
      <c r="AB30" s="34"/>
      <c r="AC30" s="923"/>
      <c r="AD30" s="890"/>
      <c r="AE30" s="891"/>
      <c r="AF30" s="892"/>
      <c r="AG30" s="910"/>
      <c r="AH30" s="20"/>
    </row>
    <row r="31" spans="1:34" ht="10" customHeight="1" thickBot="1">
      <c r="A31" s="321"/>
      <c r="B31" s="34"/>
      <c r="C31" s="34"/>
      <c r="D31" s="34"/>
      <c r="E31" s="34"/>
      <c r="F31" s="34"/>
      <c r="G31" s="321"/>
      <c r="H31" s="34"/>
      <c r="I31" s="335"/>
      <c r="J31" s="335"/>
      <c r="K31" s="335"/>
      <c r="L31" s="182"/>
      <c r="M31" s="34"/>
      <c r="N31" s="34"/>
      <c r="P31" s="34"/>
      <c r="Q31" s="34"/>
      <c r="R31" s="34"/>
      <c r="S31" s="172"/>
      <c r="T31" s="34"/>
      <c r="U31" s="34"/>
      <c r="W31" s="335"/>
      <c r="X31" s="335"/>
      <c r="Y31" s="335"/>
      <c r="Z31" s="34"/>
      <c r="AA31" s="34"/>
      <c r="AB31" s="339"/>
      <c r="AC31" s="923"/>
      <c r="AD31" s="911" t="str">
        <f>IF($Z41=$Z44," ",IF($Z41&gt;$Z44,$W41,$W44))</f>
        <v>SUS Widnau   ( NLA )</v>
      </c>
      <c r="AE31" s="912"/>
      <c r="AF31" s="913"/>
      <c r="AG31" s="910">
        <f>Eigaben!N73</f>
        <v>5</v>
      </c>
      <c r="AH31" s="20"/>
    </row>
    <row r="32" spans="1:34" ht="8.15" customHeight="1" thickBot="1">
      <c r="A32" s="962" t="s">
        <v>617</v>
      </c>
      <c r="B32" s="884"/>
      <c r="C32" s="1032" t="str">
        <f>Eigaben!H10</f>
        <v/>
      </c>
      <c r="D32" s="1033"/>
      <c r="E32" s="1033"/>
      <c r="F32" s="972">
        <v>0</v>
      </c>
      <c r="G32" s="962">
        <v>5</v>
      </c>
      <c r="H32" s="947">
        <f>Eigaben!F32</f>
        <v>53</v>
      </c>
      <c r="I32" s="898" t="str">
        <f>IF(H32=0," ",VLOOKUP($H32,Eigaben!$Y$17:$Z$94,2,1))</f>
        <v>STV Dägerlen ( NLB O )</v>
      </c>
      <c r="J32" s="899"/>
      <c r="K32" s="900"/>
      <c r="L32" s="1027">
        <f>Eigaben!L32</f>
        <v>1</v>
      </c>
      <c r="M32" s="884"/>
      <c r="N32" s="34"/>
      <c r="P32" s="34"/>
      <c r="Q32" s="34"/>
      <c r="R32" s="34"/>
      <c r="S32" s="172"/>
      <c r="T32" s="34"/>
      <c r="U32" s="34"/>
      <c r="W32" s="335"/>
      <c r="X32" s="335"/>
      <c r="Y32" s="335"/>
      <c r="Z32" s="34"/>
      <c r="AA32" s="34"/>
      <c r="AB32" s="336"/>
      <c r="AC32" s="923"/>
      <c r="AD32" s="914"/>
      <c r="AE32" s="915"/>
      <c r="AF32" s="916"/>
      <c r="AG32" s="917"/>
      <c r="AH32" s="20"/>
    </row>
    <row r="33" spans="1:34" ht="8.15" customHeight="1" thickBot="1">
      <c r="A33" s="962"/>
      <c r="B33" s="884"/>
      <c r="C33" s="1034"/>
      <c r="D33" s="1035"/>
      <c r="E33" s="1035"/>
      <c r="F33" s="992"/>
      <c r="G33" s="962"/>
      <c r="H33" s="947"/>
      <c r="I33" s="901"/>
      <c r="J33" s="902"/>
      <c r="K33" s="903"/>
      <c r="L33" s="936"/>
      <c r="M33" s="885"/>
      <c r="N33" s="34"/>
      <c r="P33" s="34"/>
      <c r="Q33" s="34"/>
      <c r="R33" s="34"/>
      <c r="S33" s="172"/>
      <c r="T33" s="34"/>
      <c r="U33" s="34"/>
      <c r="W33" s="335"/>
      <c r="X33" s="335"/>
      <c r="Y33" s="335"/>
      <c r="Z33" s="34"/>
      <c r="AA33" s="34"/>
      <c r="AB33" s="336"/>
      <c r="AD33" s="34"/>
      <c r="AE33" s="34"/>
      <c r="AF33" s="34"/>
      <c r="AG33" s="966"/>
      <c r="AH33" s="20"/>
    </row>
    <row r="34" spans="1:34" ht="8.15" customHeight="1" thickBot="1">
      <c r="A34" s="962"/>
      <c r="B34" s="884"/>
      <c r="C34" s="1034" t="str">
        <f>Eigaben!K10</f>
        <v/>
      </c>
      <c r="D34" s="1035"/>
      <c r="E34" s="1035"/>
      <c r="F34" s="992" t="str">
        <f>IF(Eigaben!$N10=0,"",Eigaben!$N10)</f>
        <v/>
      </c>
      <c r="G34" s="962"/>
      <c r="H34" s="947">
        <f>Eigaben!G32</f>
        <v>67</v>
      </c>
      <c r="I34" s="901" t="str">
        <f>IF(H34=0," ",VLOOKUP($H34,Eigaben!$Y$17:$Z$94,2,1))</f>
        <v>FG Fricktal ( NLA  )</v>
      </c>
      <c r="J34" s="902"/>
      <c r="K34" s="903"/>
      <c r="L34" s="894">
        <f>IF(Eigaben!N32=0,"",Eigaben!N32)</f>
        <v>5</v>
      </c>
      <c r="M34" s="884"/>
      <c r="N34" s="336"/>
      <c r="P34" s="34"/>
      <c r="Q34" s="34"/>
      <c r="R34" s="34"/>
      <c r="S34" s="172"/>
      <c r="T34" s="34"/>
      <c r="U34" s="34"/>
      <c r="W34" s="335"/>
      <c r="X34" s="335"/>
      <c r="Y34" s="335"/>
      <c r="Z34" s="34"/>
      <c r="AA34" s="34"/>
      <c r="AB34" s="336"/>
      <c r="AD34" s="34"/>
      <c r="AE34" s="34"/>
      <c r="AF34" s="34"/>
      <c r="AG34" s="884"/>
      <c r="AH34" s="20"/>
    </row>
    <row r="35" spans="1:34" ht="8.15" customHeight="1" thickBot="1">
      <c r="A35" s="962"/>
      <c r="B35" s="884"/>
      <c r="C35" s="1039"/>
      <c r="D35" s="1040"/>
      <c r="E35" s="1040"/>
      <c r="F35" s="976"/>
      <c r="G35" s="962"/>
      <c r="H35" s="947"/>
      <c r="I35" s="919"/>
      <c r="J35" s="920"/>
      <c r="K35" s="921"/>
      <c r="L35" s="922"/>
      <c r="M35" s="884"/>
      <c r="N35" s="337"/>
      <c r="O35" s="923">
        <v>19</v>
      </c>
      <c r="P35" s="887" t="str">
        <f>IF($L32=$L34," ",IF($L32&gt;$L34,$I32,$I34))</f>
        <v>FG Fricktal ( NLA  )</v>
      </c>
      <c r="Q35" s="888"/>
      <c r="R35" s="889"/>
      <c r="S35" s="893">
        <f>IF(Eigaben!$L$52=0,"",Eigaben!$L$52)</f>
        <v>5</v>
      </c>
      <c r="T35" s="896" t="s">
        <v>620</v>
      </c>
      <c r="U35" s="34"/>
      <c r="W35" s="335"/>
      <c r="X35" s="335"/>
      <c r="Y35" s="335"/>
      <c r="Z35" s="34"/>
      <c r="AA35" s="34"/>
      <c r="AB35" s="336"/>
      <c r="AD35" s="34"/>
      <c r="AE35" s="34"/>
      <c r="AF35" s="34"/>
      <c r="AG35" s="34"/>
      <c r="AH35" s="20"/>
    </row>
    <row r="36" spans="1:34" ht="10" customHeight="1" thickBot="1">
      <c r="A36" s="321"/>
      <c r="B36" s="34"/>
      <c r="C36" s="34"/>
      <c r="D36" s="34"/>
      <c r="E36" s="34"/>
      <c r="F36" s="34"/>
      <c r="G36" s="321"/>
      <c r="H36" s="34"/>
      <c r="I36" s="335"/>
      <c r="J36" s="335"/>
      <c r="K36" s="335"/>
      <c r="L36" s="182"/>
      <c r="M36" s="34"/>
      <c r="N36" s="34"/>
      <c r="O36" s="923"/>
      <c r="P36" s="890"/>
      <c r="Q36" s="891"/>
      <c r="R36" s="892"/>
      <c r="S36" s="894"/>
      <c r="T36" s="908"/>
      <c r="U36" s="34"/>
      <c r="W36" s="335"/>
      <c r="X36" s="335"/>
      <c r="Y36" s="335"/>
      <c r="Z36" s="34"/>
      <c r="AA36" s="34"/>
      <c r="AB36" s="336"/>
      <c r="AD36" s="34"/>
      <c r="AE36" s="34"/>
      <c r="AF36" s="34"/>
      <c r="AG36" s="34"/>
      <c r="AH36" s="20"/>
    </row>
    <row r="37" spans="1:34" ht="10" customHeight="1" thickBot="1">
      <c r="A37" s="321"/>
      <c r="B37" s="34"/>
      <c r="C37" s="34"/>
      <c r="D37" s="34"/>
      <c r="E37" s="34"/>
      <c r="F37" s="34"/>
      <c r="G37" s="321"/>
      <c r="H37" s="34"/>
      <c r="I37" s="335"/>
      <c r="J37" s="335"/>
      <c r="K37" s="335"/>
      <c r="L37" s="182"/>
      <c r="M37" s="34"/>
      <c r="N37" s="339"/>
      <c r="O37" s="923"/>
      <c r="P37" s="911" t="str">
        <f>IF($L38=$L40," ",IF($L38&gt;$L40,$I38,$I40))</f>
        <v>FBV Ettenhausen ( 2. Liga S )</v>
      </c>
      <c r="Q37" s="912"/>
      <c r="R37" s="913"/>
      <c r="S37" s="894">
        <f>IF(Eigaben!$N52=0,"",Eigaben!$N52)</f>
        <v>4</v>
      </c>
      <c r="T37" s="918"/>
      <c r="U37" s="336"/>
      <c r="W37" s="335"/>
      <c r="X37" s="335"/>
      <c r="Y37" s="335"/>
      <c r="Z37" s="34"/>
      <c r="AA37" s="34"/>
      <c r="AB37" s="336"/>
      <c r="AD37" s="34"/>
      <c r="AE37" s="34"/>
      <c r="AF37" s="34"/>
      <c r="AG37" s="34"/>
      <c r="AH37" s="20"/>
    </row>
    <row r="38" spans="1:34" ht="8.15" customHeight="1" thickBot="1">
      <c r="A38" s="962" t="s">
        <v>618</v>
      </c>
      <c r="B38" s="884"/>
      <c r="C38" s="1032" t="str">
        <f>Eigaben!H11</f>
        <v/>
      </c>
      <c r="D38" s="1033"/>
      <c r="E38" s="1033"/>
      <c r="F38" s="972" t="str">
        <f>IF(Eigaben!$L11=0,"",Eigaben!$L11)</f>
        <v/>
      </c>
      <c r="G38" s="962">
        <v>6</v>
      </c>
      <c r="H38" s="947">
        <f>Eigaben!F33</f>
        <v>41</v>
      </c>
      <c r="I38" s="898" t="str">
        <f>IF(H38=0," ",VLOOKUP($H38,Eigaben!$Y$17:$Z$94,2,1))</f>
        <v>FBV Ettenhausen ( 2. Liga S )</v>
      </c>
      <c r="J38" s="899"/>
      <c r="K38" s="900"/>
      <c r="L38" s="893">
        <f>IF(Eigaben!L33=0,"",Eigaben!L33)</f>
        <v>5</v>
      </c>
      <c r="M38" s="884"/>
      <c r="N38" s="336"/>
      <c r="O38" s="923"/>
      <c r="P38" s="914"/>
      <c r="Q38" s="915"/>
      <c r="R38" s="916"/>
      <c r="S38" s="922"/>
      <c r="T38" s="904"/>
      <c r="U38" s="336"/>
      <c r="W38" s="335"/>
      <c r="X38" s="335"/>
      <c r="Y38" s="335"/>
      <c r="Z38" s="34"/>
      <c r="AA38" s="34"/>
      <c r="AB38" s="336"/>
      <c r="AD38" s="34"/>
      <c r="AE38" s="34"/>
      <c r="AF38" s="34"/>
      <c r="AG38" s="34"/>
      <c r="AH38" s="20"/>
    </row>
    <row r="39" spans="1:34" ht="8.15" customHeight="1" thickBot="1">
      <c r="A39" s="962"/>
      <c r="B39" s="884"/>
      <c r="C39" s="1034"/>
      <c r="D39" s="1035"/>
      <c r="E39" s="1035"/>
      <c r="F39" s="992"/>
      <c r="G39" s="962"/>
      <c r="H39" s="947"/>
      <c r="I39" s="901"/>
      <c r="J39" s="902"/>
      <c r="K39" s="903"/>
      <c r="L39" s="894"/>
      <c r="M39" s="885"/>
      <c r="N39" s="336"/>
      <c r="P39" s="34"/>
      <c r="Q39" s="34"/>
      <c r="R39" s="34"/>
      <c r="S39" s="172"/>
      <c r="T39" s="34"/>
      <c r="U39" s="336"/>
      <c r="W39" s="335"/>
      <c r="X39" s="335"/>
      <c r="Y39" s="335"/>
      <c r="Z39" s="34"/>
      <c r="AA39" s="34"/>
      <c r="AB39" s="336"/>
      <c r="AD39" s="34"/>
      <c r="AE39" s="34"/>
      <c r="AF39" s="884" t="s">
        <v>651</v>
      </c>
      <c r="AG39" s="884"/>
      <c r="AH39" s="20"/>
    </row>
    <row r="40" spans="1:34" ht="8.15" customHeight="1">
      <c r="A40" s="962"/>
      <c r="B40" s="884"/>
      <c r="C40" s="1034" t="str">
        <f>Eigaben!K11</f>
        <v/>
      </c>
      <c r="D40" s="1035"/>
      <c r="E40" s="1035"/>
      <c r="F40" s="992" t="str">
        <f>IF(Eigaben!$N11=0,"",Eigaben!$N11)</f>
        <v/>
      </c>
      <c r="G40" s="962"/>
      <c r="H40" s="947">
        <f>Eigaben!G33</f>
        <v>50</v>
      </c>
      <c r="I40" s="901" t="str">
        <f>IF(H40=0," ",VLOOKUP($H40,Eigaben!$Y$17:$Z$94,2,1))</f>
        <v xml:space="preserve">TSV Jona 2  ( 1. Liga O )  </v>
      </c>
      <c r="J40" s="902"/>
      <c r="K40" s="903"/>
      <c r="L40" s="894">
        <f>IF(Eigaben!N33=0,"",Eigaben!N33)</f>
        <v>2</v>
      </c>
      <c r="M40" s="884"/>
      <c r="N40" s="34"/>
      <c r="P40" s="34"/>
      <c r="Q40" s="34"/>
      <c r="R40" s="34"/>
      <c r="S40" s="172"/>
      <c r="T40" s="34"/>
      <c r="U40" s="336"/>
      <c r="W40" s="335"/>
      <c r="X40" s="335"/>
      <c r="Y40" s="335"/>
      <c r="Z40" s="34"/>
      <c r="AA40" s="34"/>
      <c r="AB40" s="336"/>
      <c r="AD40" s="34"/>
      <c r="AE40" s="34"/>
      <c r="AF40" s="884"/>
      <c r="AG40" s="884"/>
      <c r="AH40" s="20"/>
    </row>
    <row r="41" spans="1:34" ht="8.15" customHeight="1" thickBot="1">
      <c r="A41" s="962"/>
      <c r="B41" s="884"/>
      <c r="C41" s="1039"/>
      <c r="D41" s="1040"/>
      <c r="E41" s="1040"/>
      <c r="F41" s="976"/>
      <c r="G41" s="962"/>
      <c r="H41" s="947"/>
      <c r="I41" s="919"/>
      <c r="J41" s="920"/>
      <c r="K41" s="921"/>
      <c r="L41" s="922"/>
      <c r="M41" s="884"/>
      <c r="N41" s="34"/>
      <c r="P41" s="34"/>
      <c r="Q41" s="34"/>
      <c r="R41" s="34"/>
      <c r="S41" s="172"/>
      <c r="T41" s="34"/>
      <c r="U41" s="337"/>
      <c r="V41" s="962">
        <v>26</v>
      </c>
      <c r="W41" s="335"/>
      <c r="X41" s="335"/>
      <c r="Y41" s="335"/>
      <c r="Z41" s="172"/>
      <c r="AA41" s="343"/>
      <c r="AB41" s="336"/>
      <c r="AC41" s="993">
        <f>Eigaben!Z13</f>
        <v>45920</v>
      </c>
      <c r="AD41" s="993"/>
      <c r="AE41" s="340"/>
      <c r="AF41" s="993">
        <f>Eigaben!Z14</f>
        <v>45927</v>
      </c>
      <c r="AG41" s="993"/>
      <c r="AH41" s="20"/>
    </row>
    <row r="42" spans="1:34" ht="8.15" customHeight="1">
      <c r="A42" s="321"/>
      <c r="B42" s="330"/>
      <c r="C42" s="34"/>
      <c r="D42" s="34"/>
      <c r="E42" s="34"/>
      <c r="F42" s="330"/>
      <c r="G42" s="321"/>
      <c r="H42" s="330"/>
      <c r="I42" s="335"/>
      <c r="J42" s="335"/>
      <c r="K42" s="335"/>
      <c r="L42" s="183"/>
      <c r="M42" s="330"/>
      <c r="N42" s="34"/>
      <c r="P42" s="34"/>
      <c r="Q42" s="34"/>
      <c r="R42" s="34"/>
      <c r="S42" s="172"/>
      <c r="T42" s="34"/>
      <c r="U42" s="34"/>
      <c r="V42" s="923"/>
      <c r="W42" s="887" t="s">
        <v>819</v>
      </c>
      <c r="X42" s="888"/>
      <c r="Y42" s="888"/>
      <c r="Z42" s="906">
        <f>Eigaben!L65</f>
        <v>1</v>
      </c>
      <c r="AA42" s="904" t="s">
        <v>620</v>
      </c>
      <c r="AB42" s="336"/>
      <c r="AC42" s="993"/>
      <c r="AD42" s="993"/>
      <c r="AE42" s="340"/>
      <c r="AF42" s="993"/>
      <c r="AG42" s="993"/>
      <c r="AH42" s="20"/>
    </row>
    <row r="43" spans="1:34" ht="10" customHeight="1" thickBot="1">
      <c r="A43" s="321"/>
      <c r="B43" s="34"/>
      <c r="C43" s="34"/>
      <c r="D43" s="34"/>
      <c r="E43" s="34"/>
      <c r="F43" s="34"/>
      <c r="G43" s="321"/>
      <c r="H43" s="34"/>
      <c r="I43" s="335"/>
      <c r="J43" s="335"/>
      <c r="K43" s="335"/>
      <c r="L43" s="182"/>
      <c r="M43" s="34"/>
      <c r="N43" s="34"/>
      <c r="P43" s="34"/>
      <c r="Q43" s="34"/>
      <c r="R43" s="34"/>
      <c r="S43" s="172"/>
      <c r="T43" s="34"/>
      <c r="U43" s="34"/>
      <c r="V43" s="923"/>
      <c r="W43" s="934"/>
      <c r="X43" s="915"/>
      <c r="Y43" s="915"/>
      <c r="Z43" s="1041"/>
      <c r="AA43" s="905"/>
      <c r="AB43" s="336"/>
      <c r="AC43" s="993"/>
      <c r="AD43" s="993"/>
      <c r="AE43" s="340"/>
      <c r="AF43" s="993"/>
      <c r="AG43" s="993"/>
      <c r="AH43" s="20"/>
    </row>
    <row r="44" spans="1:34" ht="10" customHeight="1" thickBot="1">
      <c r="A44" s="321"/>
      <c r="B44" s="34"/>
      <c r="C44" s="34"/>
      <c r="D44" s="34"/>
      <c r="E44" s="34"/>
      <c r="F44" s="34"/>
      <c r="G44" s="321"/>
      <c r="H44" s="34"/>
      <c r="I44" s="335"/>
      <c r="J44" s="335"/>
      <c r="K44" s="335"/>
      <c r="L44" s="182"/>
      <c r="M44" s="34"/>
      <c r="N44" s="34"/>
      <c r="P44" s="34"/>
      <c r="Q44" s="34"/>
      <c r="R44" s="34"/>
      <c r="S44" s="172"/>
      <c r="T44" s="34"/>
      <c r="U44" s="339"/>
      <c r="V44" s="923"/>
      <c r="W44" s="911" t="str">
        <f>IF($S48=$S50," ",IF($S48&gt;$S50,$P48,$P50))</f>
        <v>SUS Widnau   ( NLA )</v>
      </c>
      <c r="X44" s="912"/>
      <c r="Y44" s="913"/>
      <c r="Z44" s="907">
        <f>Eigaben!N65</f>
        <v>5</v>
      </c>
      <c r="AA44" s="895"/>
      <c r="AB44" s="34"/>
      <c r="AC44" s="341"/>
      <c r="AD44" s="341"/>
      <c r="AE44" s="341"/>
      <c r="AF44" s="341"/>
      <c r="AG44" s="341"/>
      <c r="AH44" s="20"/>
    </row>
    <row r="45" spans="1:34" ht="8.15" customHeight="1" thickBot="1">
      <c r="A45" s="962" t="s">
        <v>619</v>
      </c>
      <c r="B45" s="884"/>
      <c r="C45" s="898" t="str">
        <f>Eigaben!H12</f>
        <v/>
      </c>
      <c r="D45" s="900"/>
      <c r="E45" s="900"/>
      <c r="F45" s="972" t="str">
        <f>IF(Eigaben!$L12=0,"",Eigaben!$L12)</f>
        <v/>
      </c>
      <c r="G45" s="962">
        <v>7</v>
      </c>
      <c r="H45" s="947">
        <f>Eigaben!F34</f>
        <v>46</v>
      </c>
      <c r="I45" s="898" t="str">
        <f>IF(H45=0," ",VLOOKUP($H45,Eigaben!$Y$17:$Z$94,2,1))</f>
        <v>SUS Widnau   ( 2. Liga F )</v>
      </c>
      <c r="J45" s="899"/>
      <c r="K45" s="900"/>
      <c r="L45" s="893">
        <f>IF(Eigaben!L34=0,"",Eigaben!L34)</f>
        <v>4</v>
      </c>
      <c r="M45" s="896"/>
      <c r="N45" s="34"/>
      <c r="P45" s="34"/>
      <c r="Q45" s="34"/>
      <c r="R45" s="34"/>
      <c r="S45" s="172"/>
      <c r="T45" s="34"/>
      <c r="U45" s="336"/>
      <c r="V45" s="923"/>
      <c r="W45" s="914"/>
      <c r="X45" s="915"/>
      <c r="Y45" s="916"/>
      <c r="Z45" s="917"/>
      <c r="AA45" s="896"/>
      <c r="AB45" s="321"/>
      <c r="AD45" s="321"/>
      <c r="AE45" s="321"/>
      <c r="AF45" s="321"/>
      <c r="AG45" s="321"/>
      <c r="AH45" s="20"/>
    </row>
    <row r="46" spans="1:34" ht="8.15" customHeight="1" thickBot="1">
      <c r="A46" s="962"/>
      <c r="B46" s="884"/>
      <c r="C46" s="990"/>
      <c r="D46" s="991"/>
      <c r="E46" s="991"/>
      <c r="F46" s="992"/>
      <c r="G46" s="962"/>
      <c r="H46" s="947"/>
      <c r="I46" s="901"/>
      <c r="J46" s="902"/>
      <c r="K46" s="903"/>
      <c r="L46" s="894"/>
      <c r="M46" s="908"/>
      <c r="N46" s="34"/>
      <c r="P46" s="34"/>
      <c r="Q46" s="34"/>
      <c r="R46" s="34"/>
      <c r="S46" s="172"/>
      <c r="T46" s="34"/>
      <c r="U46" s="336"/>
      <c r="W46" s="335"/>
      <c r="X46" s="335"/>
      <c r="Y46" s="335"/>
      <c r="Z46" s="34"/>
      <c r="AA46" s="34"/>
      <c r="AB46" s="984" t="str">
        <f>Eigaben!Z4</f>
        <v>37. Final Schweizer Cup 2025</v>
      </c>
      <c r="AC46" s="985"/>
      <c r="AD46" s="985"/>
      <c r="AE46" s="985"/>
      <c r="AF46" s="985"/>
      <c r="AG46" s="986"/>
      <c r="AH46" s="20"/>
    </row>
    <row r="47" spans="1:34" ht="8.15" customHeight="1" thickBot="1">
      <c r="A47" s="962"/>
      <c r="B47" s="884"/>
      <c r="C47" s="990" t="str">
        <f>Eigaben!K12</f>
        <v/>
      </c>
      <c r="D47" s="991"/>
      <c r="E47" s="991"/>
      <c r="F47" s="992" t="str">
        <f>IF(Eigaben!$N12=0,"",Eigaben!$N12)</f>
        <v/>
      </c>
      <c r="G47" s="962"/>
      <c r="H47" s="947">
        <f>Eigaben!G34</f>
        <v>64</v>
      </c>
      <c r="I47" s="901" t="str">
        <f>IF(H47=0," ",VLOOKUP($H47,Eigaben!$Y$17:$Z$94,2,1))</f>
        <v>STV Affeltrangen  ( NLA )</v>
      </c>
      <c r="J47" s="902"/>
      <c r="K47" s="903"/>
      <c r="L47" s="894">
        <f>IF(Eigaben!N34=0,"",Eigaben!N34)</f>
        <v>5</v>
      </c>
      <c r="M47" s="918"/>
      <c r="N47" s="336"/>
      <c r="P47" s="34"/>
      <c r="Q47" s="34"/>
      <c r="R47" s="34"/>
      <c r="S47" s="172"/>
      <c r="T47" s="34"/>
      <c r="U47" s="336"/>
      <c r="W47" s="335"/>
      <c r="X47" s="335"/>
      <c r="Y47" s="335"/>
      <c r="Z47" s="34"/>
      <c r="AA47" s="34"/>
      <c r="AB47" s="987"/>
      <c r="AC47" s="988"/>
      <c r="AD47" s="988"/>
      <c r="AE47" s="988"/>
      <c r="AF47" s="988"/>
      <c r="AG47" s="989"/>
      <c r="AH47" s="20"/>
    </row>
    <row r="48" spans="1:34" ht="8.15" customHeight="1" thickBot="1">
      <c r="A48" s="962"/>
      <c r="B48" s="884"/>
      <c r="C48" s="919"/>
      <c r="D48" s="921"/>
      <c r="E48" s="921"/>
      <c r="F48" s="976"/>
      <c r="G48" s="962"/>
      <c r="H48" s="947"/>
      <c r="I48" s="919"/>
      <c r="J48" s="920"/>
      <c r="K48" s="921"/>
      <c r="L48" s="922"/>
      <c r="M48" s="904"/>
      <c r="N48" s="337"/>
      <c r="O48" s="923">
        <v>20</v>
      </c>
      <c r="P48" s="887" t="str">
        <f>IF($L45=$L47," ",IF($L45&gt;$L47,$I45,$I47))</f>
        <v>STV Affeltrangen  ( NLA )</v>
      </c>
      <c r="Q48" s="888"/>
      <c r="R48" s="889"/>
      <c r="S48" s="893">
        <f>Eigaben!L53</f>
        <v>3</v>
      </c>
      <c r="T48" s="904"/>
      <c r="U48" s="336"/>
      <c r="W48" s="335"/>
      <c r="X48" s="335"/>
      <c r="Y48" s="335"/>
      <c r="Z48" s="34"/>
      <c r="AA48" s="34"/>
      <c r="AB48" s="987"/>
      <c r="AC48" s="988"/>
      <c r="AD48" s="988"/>
      <c r="AE48" s="988"/>
      <c r="AF48" s="988"/>
      <c r="AG48" s="989"/>
      <c r="AH48" s="20"/>
    </row>
    <row r="49" spans="1:34" ht="10" customHeight="1" thickBot="1">
      <c r="A49" s="321"/>
      <c r="B49" s="34"/>
      <c r="C49" s="34"/>
      <c r="D49" s="34"/>
      <c r="E49" s="34"/>
      <c r="F49" s="34"/>
      <c r="G49" s="321"/>
      <c r="H49" s="34"/>
      <c r="I49" s="335"/>
      <c r="J49" s="335"/>
      <c r="K49" s="335"/>
      <c r="L49" s="182"/>
      <c r="M49" s="34"/>
      <c r="N49" s="34"/>
      <c r="O49" s="923"/>
      <c r="P49" s="890"/>
      <c r="Q49" s="891"/>
      <c r="R49" s="892"/>
      <c r="S49" s="894"/>
      <c r="T49" s="905"/>
      <c r="U49" s="336"/>
      <c r="W49" s="335"/>
      <c r="X49" s="335"/>
      <c r="Y49" s="335"/>
      <c r="Z49" s="34"/>
      <c r="AA49" s="34"/>
      <c r="AB49" s="987"/>
      <c r="AC49" s="988"/>
      <c r="AD49" s="988"/>
      <c r="AE49" s="988"/>
      <c r="AF49" s="988"/>
      <c r="AG49" s="989"/>
      <c r="AH49" s="342"/>
    </row>
    <row r="50" spans="1:34" ht="10" customHeight="1" thickBot="1">
      <c r="A50" s="321"/>
      <c r="B50" s="34"/>
      <c r="C50" s="34"/>
      <c r="D50" s="34"/>
      <c r="E50" s="34"/>
      <c r="F50" s="34"/>
      <c r="G50" s="321"/>
      <c r="H50" s="34"/>
      <c r="I50" s="335"/>
      <c r="J50" s="335"/>
      <c r="K50" s="335"/>
      <c r="L50" s="182"/>
      <c r="M50" s="34"/>
      <c r="N50" s="339"/>
      <c r="O50" s="923"/>
      <c r="P50" s="911" t="str">
        <f>IF($L51=$L53," ",IF($L51&gt;$L53,$I51,$I53))</f>
        <v>SUS Widnau   ( NLA )</v>
      </c>
      <c r="Q50" s="912"/>
      <c r="R50" s="913"/>
      <c r="S50" s="894">
        <f>IF(Eigaben!$N$53=0,"",Eigaben!$N$53)</f>
        <v>5</v>
      </c>
      <c r="T50" s="895" t="s">
        <v>620</v>
      </c>
      <c r="U50" s="34"/>
      <c r="W50" s="335"/>
      <c r="X50" s="335"/>
      <c r="Y50" s="335"/>
      <c r="Z50" s="34"/>
      <c r="AA50" s="34"/>
      <c r="AB50" s="1042" t="s">
        <v>820</v>
      </c>
      <c r="AC50" s="1043"/>
      <c r="AD50" s="1043"/>
      <c r="AE50" s="1043"/>
      <c r="AF50" s="1043"/>
      <c r="AG50" s="1044"/>
      <c r="AH50" s="342"/>
    </row>
    <row r="51" spans="1:34" ht="8.15" customHeight="1" thickBot="1">
      <c r="A51" s="962" t="s">
        <v>620</v>
      </c>
      <c r="B51" s="884"/>
      <c r="C51" s="898" t="str">
        <f>Eigaben!H13</f>
        <v/>
      </c>
      <c r="D51" s="899"/>
      <c r="E51" s="900"/>
      <c r="F51" s="972" t="str">
        <f>IF(Eigaben!$L13=0,"",Eigaben!$L13)</f>
        <v/>
      </c>
      <c r="G51" s="962">
        <v>8</v>
      </c>
      <c r="H51" s="947">
        <f>Eigaben!F35</f>
        <v>38</v>
      </c>
      <c r="I51" s="887" t="str">
        <f>IF(H51=0," ",VLOOKUP($H51,Eigaben!$Y$17:$Z$94,2,1))</f>
        <v>TSV Waldkirch ( 3. Liga F )</v>
      </c>
      <c r="J51" s="888"/>
      <c r="K51" s="889"/>
      <c r="L51" s="893">
        <f>IF(Eigaben!L35=0,"",Eigaben!L35)</f>
        <v>1</v>
      </c>
      <c r="M51" s="904"/>
      <c r="N51" s="336"/>
      <c r="O51" s="923"/>
      <c r="P51" s="914"/>
      <c r="Q51" s="915"/>
      <c r="R51" s="916"/>
      <c r="S51" s="922"/>
      <c r="T51" s="896"/>
      <c r="U51" s="34"/>
      <c r="W51" s="335"/>
      <c r="X51" s="335"/>
      <c r="Y51" s="335"/>
      <c r="Z51" s="34"/>
      <c r="AA51" s="34"/>
      <c r="AB51" s="1042"/>
      <c r="AC51" s="1043"/>
      <c r="AD51" s="1043"/>
      <c r="AE51" s="1043"/>
      <c r="AF51" s="1043"/>
      <c r="AG51" s="1044"/>
      <c r="AH51" s="342"/>
    </row>
    <row r="52" spans="1:34" ht="8.15" customHeight="1" thickBot="1">
      <c r="A52" s="962"/>
      <c r="B52" s="884"/>
      <c r="C52" s="901"/>
      <c r="D52" s="902"/>
      <c r="E52" s="903"/>
      <c r="F52" s="973"/>
      <c r="G52" s="962"/>
      <c r="H52" s="947"/>
      <c r="I52" s="890"/>
      <c r="J52" s="891"/>
      <c r="K52" s="892"/>
      <c r="L52" s="894"/>
      <c r="M52" s="905"/>
      <c r="N52" s="336"/>
      <c r="P52" s="34"/>
      <c r="Q52" s="34"/>
      <c r="R52" s="34"/>
      <c r="S52" s="172"/>
      <c r="T52" s="34"/>
      <c r="U52" s="34"/>
      <c r="W52" s="335"/>
      <c r="X52" s="335"/>
      <c r="Y52" s="335"/>
      <c r="Z52" s="34"/>
      <c r="AA52" s="34"/>
      <c r="AB52" s="1042"/>
      <c r="AC52" s="1043"/>
      <c r="AD52" s="1043"/>
      <c r="AE52" s="1043"/>
      <c r="AF52" s="1043"/>
      <c r="AG52" s="1044"/>
      <c r="AH52" s="342"/>
    </row>
    <row r="53" spans="1:34" ht="8.15" customHeight="1">
      <c r="A53" s="962"/>
      <c r="B53" s="884"/>
      <c r="C53" s="901" t="str">
        <f>Eigaben!K13</f>
        <v/>
      </c>
      <c r="D53" s="902"/>
      <c r="E53" s="903"/>
      <c r="F53" s="973" t="str">
        <f>IF(Eigaben!$N13=0,"",Eigaben!$N13)</f>
        <v/>
      </c>
      <c r="G53" s="962"/>
      <c r="H53" s="947">
        <f>Eigaben!G35</f>
        <v>70</v>
      </c>
      <c r="I53" s="911" t="str">
        <f>IF(H53=0," ",VLOOKUP($H53,Eigaben!$Y$17:$Z$94,2,1))</f>
        <v>SUS Widnau   ( NLA )</v>
      </c>
      <c r="J53" s="912"/>
      <c r="K53" s="913"/>
      <c r="L53" s="894">
        <f>IF(Eigaben!N35=0,"",Eigaben!N35)</f>
        <v>5</v>
      </c>
      <c r="M53" s="895"/>
      <c r="N53" s="34"/>
      <c r="P53" s="34"/>
      <c r="Q53" s="34"/>
      <c r="R53" s="34"/>
      <c r="S53" s="172"/>
      <c r="T53" s="34"/>
      <c r="U53" s="34"/>
      <c r="W53" s="335"/>
      <c r="X53" s="335"/>
      <c r="Y53" s="335"/>
      <c r="Z53" s="34"/>
      <c r="AA53" s="34"/>
      <c r="AB53" s="978" t="str">
        <f>IF(AG29=AG31," ",IF(AG29&gt;AG31,AD29,AD31))</f>
        <v>SUS Widnau   ( NLA )</v>
      </c>
      <c r="AC53" s="979"/>
      <c r="AD53" s="979"/>
      <c r="AE53" s="979"/>
      <c r="AF53" s="979"/>
      <c r="AG53" s="982"/>
      <c r="AH53" s="977"/>
    </row>
    <row r="54" spans="1:34" ht="8.15" customHeight="1" thickBot="1">
      <c r="A54" s="962"/>
      <c r="B54" s="884"/>
      <c r="C54" s="919"/>
      <c r="D54" s="920"/>
      <c r="E54" s="921"/>
      <c r="F54" s="976"/>
      <c r="G54" s="962"/>
      <c r="H54" s="947"/>
      <c r="I54" s="934"/>
      <c r="J54" s="969"/>
      <c r="K54" s="935"/>
      <c r="L54" s="922"/>
      <c r="M54" s="896"/>
      <c r="N54" s="34"/>
      <c r="P54" s="34"/>
      <c r="Q54" s="34"/>
      <c r="R54" s="34"/>
      <c r="S54" s="172"/>
      <c r="T54" s="34"/>
      <c r="U54" s="34"/>
      <c r="W54" s="335"/>
      <c r="X54" s="335"/>
      <c r="Y54" s="335"/>
      <c r="Z54" s="34"/>
      <c r="AA54" s="34"/>
      <c r="AB54" s="978"/>
      <c r="AC54" s="979"/>
      <c r="AD54" s="979"/>
      <c r="AE54" s="979"/>
      <c r="AF54" s="979"/>
      <c r="AG54" s="982"/>
      <c r="AH54" s="977"/>
    </row>
    <row r="55" spans="1:34" ht="10" customHeight="1">
      <c r="A55" s="321"/>
      <c r="B55" s="34"/>
      <c r="C55" s="34"/>
      <c r="D55" s="34"/>
      <c r="E55" s="34"/>
      <c r="F55" s="34"/>
      <c r="G55" s="321"/>
      <c r="H55" s="34"/>
      <c r="I55" s="335"/>
      <c r="J55" s="335"/>
      <c r="K55" s="335"/>
      <c r="L55" s="182"/>
      <c r="M55" s="34"/>
      <c r="N55" s="34"/>
      <c r="P55" s="34"/>
      <c r="Q55" s="34"/>
      <c r="R55" s="34"/>
      <c r="S55" s="172"/>
      <c r="T55" s="34"/>
      <c r="U55" s="34"/>
      <c r="W55" s="335"/>
      <c r="X55" s="335"/>
      <c r="Y55" s="335"/>
      <c r="Z55" s="34"/>
      <c r="AA55" s="34"/>
      <c r="AB55" s="978"/>
      <c r="AC55" s="979"/>
      <c r="AD55" s="979"/>
      <c r="AE55" s="979"/>
      <c r="AF55" s="979"/>
      <c r="AG55" s="982"/>
      <c r="AH55" s="977"/>
    </row>
    <row r="56" spans="1:34" ht="10" customHeight="1" thickBot="1">
      <c r="A56" s="321"/>
      <c r="B56" s="34"/>
      <c r="C56" s="34"/>
      <c r="D56" s="34"/>
      <c r="E56" s="34"/>
      <c r="F56" s="34"/>
      <c r="G56" s="321"/>
      <c r="H56" s="34"/>
      <c r="I56" s="335"/>
      <c r="J56" s="335"/>
      <c r="K56" s="335"/>
      <c r="L56" s="182"/>
      <c r="M56" s="34"/>
      <c r="N56" s="34"/>
      <c r="P56" s="34"/>
      <c r="Q56" s="34"/>
      <c r="R56" s="34"/>
      <c r="S56" s="172"/>
      <c r="T56" s="34"/>
      <c r="U56" s="34"/>
      <c r="W56" s="335"/>
      <c r="X56" s="335"/>
      <c r="Y56" s="335"/>
      <c r="Z56" s="34"/>
      <c r="AA56" s="34"/>
      <c r="AB56" s="978" t="str">
        <f>IF(AG78=AG80," ",IF(AG78&gt;AG80,AD78,AD80))</f>
        <v xml:space="preserve"> </v>
      </c>
      <c r="AC56" s="979"/>
      <c r="AD56" s="979"/>
      <c r="AE56" s="979"/>
      <c r="AF56" s="979"/>
      <c r="AG56" s="982"/>
      <c r="AH56" s="342"/>
    </row>
    <row r="57" spans="1:34" ht="8.15" customHeight="1">
      <c r="A57" s="962" t="s">
        <v>362</v>
      </c>
      <c r="B57" s="884"/>
      <c r="C57" s="898" t="str">
        <f>Eigaben!H14</f>
        <v/>
      </c>
      <c r="D57" s="899"/>
      <c r="E57" s="900"/>
      <c r="F57" s="972" t="str">
        <f>IF(Eigaben!$L14=0,"",Eigaben!$L14)</f>
        <v/>
      </c>
      <c r="G57" s="962">
        <v>9</v>
      </c>
      <c r="H57" s="947">
        <f>Eigaben!F36</f>
        <v>51</v>
      </c>
      <c r="I57" s="887" t="str">
        <f>IF(H57=0," ",VLOOKUP($H57,Eigaben!$Y$17:$Z$94,2,1))</f>
        <v>STV Spreitenbach 1 ( 1. Liga W )</v>
      </c>
      <c r="J57" s="888"/>
      <c r="K57" s="889"/>
      <c r="L57" s="893">
        <v>0</v>
      </c>
      <c r="M57" s="896"/>
      <c r="N57" s="34"/>
      <c r="P57" s="34"/>
      <c r="Q57" s="34"/>
      <c r="R57" s="34"/>
      <c r="S57" s="172"/>
      <c r="T57" s="34"/>
      <c r="U57" s="34"/>
      <c r="W57" s="335"/>
      <c r="X57" s="335"/>
      <c r="Y57" s="335"/>
      <c r="Z57" s="34"/>
      <c r="AA57" s="34"/>
      <c r="AB57" s="978"/>
      <c r="AC57" s="979"/>
      <c r="AD57" s="979"/>
      <c r="AE57" s="979"/>
      <c r="AF57" s="979"/>
      <c r="AG57" s="982"/>
      <c r="AH57" s="342"/>
    </row>
    <row r="58" spans="1:34" ht="8.15" customHeight="1" thickBot="1">
      <c r="A58" s="962"/>
      <c r="B58" s="884"/>
      <c r="C58" s="901"/>
      <c r="D58" s="902"/>
      <c r="E58" s="903"/>
      <c r="F58" s="973"/>
      <c r="G58" s="962"/>
      <c r="H58" s="947"/>
      <c r="I58" s="890"/>
      <c r="J58" s="891"/>
      <c r="K58" s="892"/>
      <c r="L58" s="894"/>
      <c r="M58" s="908"/>
      <c r="N58" s="34"/>
      <c r="P58" s="34"/>
      <c r="Q58" s="34"/>
      <c r="R58" s="34"/>
      <c r="S58" s="172"/>
      <c r="T58" s="34"/>
      <c r="U58" s="34"/>
      <c r="W58" s="335"/>
      <c r="X58" s="335"/>
      <c r="Y58" s="335"/>
      <c r="Z58" s="34"/>
      <c r="AA58" s="34"/>
      <c r="AB58" s="980"/>
      <c r="AC58" s="981"/>
      <c r="AD58" s="981"/>
      <c r="AE58" s="981"/>
      <c r="AF58" s="981"/>
      <c r="AG58" s="983"/>
      <c r="AH58" s="342"/>
    </row>
    <row r="59" spans="1:34" ht="8.15" customHeight="1" thickBot="1">
      <c r="A59" s="962"/>
      <c r="B59" s="884"/>
      <c r="C59" s="901" t="str">
        <f>Eigaben!K14</f>
        <v/>
      </c>
      <c r="D59" s="902"/>
      <c r="E59" s="903"/>
      <c r="F59" s="973" t="str">
        <f>IF(Eigaben!$N14=0,"",Eigaben!$N14)</f>
        <v/>
      </c>
      <c r="G59" s="962"/>
      <c r="H59" s="947">
        <f>Eigaben!G36</f>
        <v>68</v>
      </c>
      <c r="I59" s="911" t="str">
        <f>IF(H59=0," ",VLOOKUP($H59,Eigaben!$Y$17:$Z$94,2,1))</f>
        <v>STV Oberentfelden   ( NLA )</v>
      </c>
      <c r="J59" s="912"/>
      <c r="K59" s="913"/>
      <c r="L59" s="894">
        <f>IF(Eigaben!N36=0,"",Eigaben!N36)</f>
        <v>5</v>
      </c>
      <c r="M59" s="918"/>
      <c r="N59" s="336"/>
      <c r="P59" s="34"/>
      <c r="Q59" s="34"/>
      <c r="R59" s="34"/>
      <c r="S59" s="172"/>
      <c r="T59" s="34"/>
      <c r="U59" s="34"/>
      <c r="W59" s="335"/>
      <c r="X59" s="335"/>
      <c r="Y59" s="335"/>
      <c r="Z59" s="34"/>
      <c r="AA59" s="34"/>
      <c r="AB59" s="34"/>
      <c r="AD59" s="170"/>
      <c r="AE59" s="170"/>
      <c r="AF59" s="170"/>
      <c r="AG59" s="170"/>
      <c r="AH59" s="342"/>
    </row>
    <row r="60" spans="1:34" ht="8.15" customHeight="1" thickBot="1">
      <c r="A60" s="962"/>
      <c r="B60" s="884"/>
      <c r="C60" s="919"/>
      <c r="D60" s="920"/>
      <c r="E60" s="921"/>
      <c r="F60" s="976"/>
      <c r="G60" s="962"/>
      <c r="H60" s="947"/>
      <c r="I60" s="934"/>
      <c r="J60" s="969"/>
      <c r="K60" s="935"/>
      <c r="L60" s="922"/>
      <c r="M60" s="904"/>
      <c r="N60" s="337"/>
      <c r="O60" s="923">
        <v>21</v>
      </c>
      <c r="P60" s="887" t="str">
        <f>IF($L57=$L59," ",IF($L57&gt;$L59,$I57,$I59))</f>
        <v>STV Oberentfelden   ( NLA )</v>
      </c>
      <c r="Q60" s="888"/>
      <c r="R60" s="889"/>
      <c r="S60" s="893">
        <v>0</v>
      </c>
      <c r="T60" s="896"/>
      <c r="U60" s="34"/>
      <c r="W60" s="335"/>
      <c r="X60" s="335"/>
      <c r="Y60" s="335"/>
      <c r="Z60" s="34"/>
      <c r="AA60" s="34"/>
      <c r="AB60" s="34"/>
      <c r="AD60" s="34"/>
      <c r="AE60" s="34"/>
      <c r="AF60" s="34"/>
      <c r="AG60" s="34"/>
      <c r="AH60" s="20"/>
    </row>
    <row r="61" spans="1:34" ht="10" customHeight="1" thickBot="1">
      <c r="A61" s="321"/>
      <c r="B61" s="34"/>
      <c r="C61" s="34"/>
      <c r="D61" s="34"/>
      <c r="E61" s="34"/>
      <c r="F61" s="34"/>
      <c r="G61" s="321"/>
      <c r="H61" s="34"/>
      <c r="I61" s="335"/>
      <c r="J61" s="335"/>
      <c r="K61" s="335"/>
      <c r="L61" s="182"/>
      <c r="M61" s="34"/>
      <c r="N61" s="34"/>
      <c r="O61" s="923"/>
      <c r="P61" s="890"/>
      <c r="Q61" s="891"/>
      <c r="R61" s="892"/>
      <c r="S61" s="894"/>
      <c r="T61" s="908"/>
      <c r="U61" s="34"/>
      <c r="W61" s="335"/>
      <c r="X61" s="335"/>
      <c r="Y61" s="335"/>
      <c r="Z61" s="34"/>
      <c r="AA61" s="34"/>
      <c r="AB61" s="34"/>
      <c r="AD61" s="34"/>
      <c r="AE61" s="34"/>
      <c r="AF61" s="34"/>
      <c r="AG61" s="34"/>
      <c r="AH61" s="20"/>
    </row>
    <row r="62" spans="1:34" ht="10" customHeight="1" thickBot="1">
      <c r="A62" s="321"/>
      <c r="B62" s="34"/>
      <c r="C62" s="34"/>
      <c r="D62" s="34"/>
      <c r="E62" s="34"/>
      <c r="F62" s="34"/>
      <c r="G62" s="321"/>
      <c r="H62" s="34"/>
      <c r="I62" s="335"/>
      <c r="J62" s="335"/>
      <c r="K62" s="335"/>
      <c r="L62" s="182"/>
      <c r="M62" s="34"/>
      <c r="N62" s="339"/>
      <c r="O62" s="923"/>
      <c r="P62" s="911" t="str">
        <f>IF($L63=$L65," ",IF($L63&gt;$L65,$I63,$I65))</f>
        <v xml:space="preserve"> </v>
      </c>
      <c r="Q62" s="912"/>
      <c r="R62" s="913"/>
      <c r="S62" s="894">
        <f>IF(Eigaben!$L$54=0,"",Eigaben!$L$54)</f>
        <v>1</v>
      </c>
      <c r="T62" s="918" t="s">
        <v>620</v>
      </c>
      <c r="U62" s="336"/>
      <c r="W62" s="335"/>
      <c r="X62" s="335"/>
      <c r="Y62" s="335"/>
      <c r="Z62" s="34"/>
      <c r="AA62" s="34"/>
      <c r="AB62" s="34"/>
      <c r="AD62" s="34"/>
      <c r="AE62" s="34"/>
      <c r="AF62" s="34"/>
      <c r="AG62" s="34"/>
      <c r="AH62" s="20"/>
    </row>
    <row r="63" spans="1:34" ht="8.15" customHeight="1" thickBot="1">
      <c r="A63" s="962" t="s">
        <v>621</v>
      </c>
      <c r="B63" s="884"/>
      <c r="C63" s="898" t="str">
        <f>Eigaben!H15</f>
        <v/>
      </c>
      <c r="D63" s="899"/>
      <c r="E63" s="900"/>
      <c r="F63" s="970" t="str">
        <f>IF(Eigaben!$L15=0,"",Eigaben!$L15)</f>
        <v/>
      </c>
      <c r="G63" s="962">
        <v>10</v>
      </c>
      <c r="H63" s="947">
        <v>12</v>
      </c>
      <c r="I63" s="898" t="str">
        <f>IF(H63=0," ",VLOOKUP($H63,Eigaben!$Y$17:$Z$94,2,1))</f>
        <v xml:space="preserve"> </v>
      </c>
      <c r="J63" s="899"/>
      <c r="K63" s="900"/>
      <c r="L63" s="893" t="str">
        <f>IF(Eigaben!L37=0,"",Eigaben!L37)</f>
        <v/>
      </c>
      <c r="M63" s="904"/>
      <c r="N63" s="336"/>
      <c r="O63" s="923"/>
      <c r="P63" s="914"/>
      <c r="Q63" s="915"/>
      <c r="R63" s="916"/>
      <c r="S63" s="922"/>
      <c r="T63" s="904"/>
      <c r="U63" s="336"/>
      <c r="W63" s="335"/>
      <c r="X63" s="335"/>
      <c r="Y63" s="335"/>
      <c r="Z63" s="34"/>
      <c r="AA63" s="34"/>
      <c r="AB63" s="34"/>
      <c r="AD63" s="34"/>
      <c r="AE63" s="34"/>
      <c r="AF63" s="34"/>
      <c r="AG63" s="34"/>
      <c r="AH63" s="20"/>
    </row>
    <row r="64" spans="1:34" ht="8.15" customHeight="1" thickBot="1">
      <c r="A64" s="962"/>
      <c r="B64" s="884"/>
      <c r="C64" s="901"/>
      <c r="D64" s="902"/>
      <c r="E64" s="903"/>
      <c r="F64" s="971"/>
      <c r="G64" s="962"/>
      <c r="H64" s="947"/>
      <c r="I64" s="901"/>
      <c r="J64" s="902"/>
      <c r="K64" s="903"/>
      <c r="L64" s="894"/>
      <c r="M64" s="905"/>
      <c r="N64" s="336"/>
      <c r="P64" s="34"/>
      <c r="Q64" s="34"/>
      <c r="R64" s="34"/>
      <c r="S64" s="172"/>
      <c r="T64" s="34"/>
      <c r="U64" s="336"/>
      <c r="W64" s="335"/>
      <c r="X64" s="335"/>
      <c r="Y64" s="335"/>
      <c r="Z64" s="34"/>
      <c r="AA64" s="34"/>
      <c r="AB64" s="34"/>
      <c r="AD64" s="34"/>
      <c r="AE64" s="34"/>
      <c r="AF64" s="34"/>
      <c r="AG64" s="34"/>
      <c r="AH64" s="20"/>
    </row>
    <row r="65" spans="1:34" ht="8.15" customHeight="1" thickBot="1">
      <c r="A65" s="962"/>
      <c r="B65" s="884"/>
      <c r="C65" s="901" t="str">
        <f>Eigaben!K15</f>
        <v/>
      </c>
      <c r="D65" s="902"/>
      <c r="E65" s="903"/>
      <c r="F65" s="974" t="str">
        <f>IF(Eigaben!$N15=0,"",Eigaben!$N15)</f>
        <v/>
      </c>
      <c r="G65" s="962"/>
      <c r="H65" s="947">
        <f>Eigaben!G37</f>
        <v>63</v>
      </c>
      <c r="I65" s="901" t="str">
        <f>IF(H65=0," ",VLOOKUP($H65,Eigaben!$Y$17:$Z$94,2,1))</f>
        <v>STV Vordemwald 1 ( NLB W )</v>
      </c>
      <c r="J65" s="902"/>
      <c r="K65" s="903"/>
      <c r="L65" s="894">
        <f>IF(Eigaben!N37=0,"",Eigaben!N37)</f>
        <v>5</v>
      </c>
      <c r="M65" s="895"/>
      <c r="N65" s="34"/>
      <c r="P65" s="34"/>
      <c r="Q65" s="34"/>
      <c r="R65" s="34"/>
      <c r="S65" s="172"/>
      <c r="T65" s="34"/>
      <c r="U65" s="336"/>
      <c r="W65" s="335"/>
      <c r="X65" s="335"/>
      <c r="Y65" s="335"/>
      <c r="Z65" s="34"/>
      <c r="AA65" s="34"/>
      <c r="AB65" s="34"/>
      <c r="AD65" s="34"/>
      <c r="AE65" s="34"/>
      <c r="AF65" s="34"/>
      <c r="AG65" s="34"/>
      <c r="AH65" s="20"/>
    </row>
    <row r="66" spans="1:34" ht="8.15" customHeight="1" thickBot="1">
      <c r="A66" s="962"/>
      <c r="B66" s="884"/>
      <c r="C66" s="919"/>
      <c r="D66" s="920"/>
      <c r="E66" s="921"/>
      <c r="F66" s="975"/>
      <c r="G66" s="962"/>
      <c r="H66" s="947"/>
      <c r="I66" s="919"/>
      <c r="J66" s="920"/>
      <c r="K66" s="921"/>
      <c r="L66" s="922"/>
      <c r="M66" s="896"/>
      <c r="N66" s="34"/>
      <c r="P66" s="34"/>
      <c r="Q66" s="34"/>
      <c r="R66" s="34"/>
      <c r="S66" s="172"/>
      <c r="T66" s="34"/>
      <c r="U66" s="337"/>
      <c r="V66" s="923">
        <v>27</v>
      </c>
      <c r="W66" s="887" t="str">
        <f>IF($S60=$S62," ",IF($S60&gt;$S62,$P60,$P62))</f>
        <v xml:space="preserve"> </v>
      </c>
      <c r="X66" s="888"/>
      <c r="Y66" s="889"/>
      <c r="Z66" s="909">
        <f>Eigaben!N66</f>
        <v>0</v>
      </c>
      <c r="AA66" s="896" t="s">
        <v>620</v>
      </c>
      <c r="AB66" s="34"/>
      <c r="AD66" s="34"/>
      <c r="AE66" s="34"/>
      <c r="AF66" s="34"/>
      <c r="AG66" s="34"/>
      <c r="AH66" s="20"/>
    </row>
    <row r="67" spans="1:34" ht="10" customHeight="1" thickBot="1">
      <c r="A67" s="321"/>
      <c r="B67" s="34"/>
      <c r="C67" s="34"/>
      <c r="D67" s="34"/>
      <c r="E67" s="34"/>
      <c r="F67" s="34"/>
      <c r="G67" s="321"/>
      <c r="H67" s="34"/>
      <c r="I67" s="335"/>
      <c r="J67" s="335"/>
      <c r="K67" s="335"/>
      <c r="L67" s="182"/>
      <c r="M67" s="34"/>
      <c r="N67" s="34"/>
      <c r="P67" s="34"/>
      <c r="Q67" s="34"/>
      <c r="R67" s="34"/>
      <c r="S67" s="172"/>
      <c r="T67" s="34"/>
      <c r="U67" s="34"/>
      <c r="V67" s="923"/>
      <c r="W67" s="890"/>
      <c r="X67" s="891"/>
      <c r="Y67" s="892"/>
      <c r="Z67" s="910"/>
      <c r="AA67" s="908"/>
      <c r="AB67" s="34"/>
      <c r="AD67" s="34"/>
      <c r="AE67" s="34"/>
      <c r="AF67" s="34"/>
      <c r="AG67" s="34"/>
      <c r="AH67" s="20"/>
    </row>
    <row r="68" spans="1:34" ht="10" customHeight="1" thickBot="1">
      <c r="A68" s="321"/>
      <c r="B68" s="34"/>
      <c r="C68" s="34"/>
      <c r="D68" s="34"/>
      <c r="E68" s="34"/>
      <c r="F68" s="34"/>
      <c r="G68" s="321"/>
      <c r="H68" s="34"/>
      <c r="I68" s="335"/>
      <c r="J68" s="335"/>
      <c r="K68" s="335"/>
      <c r="L68" s="182"/>
      <c r="M68" s="34"/>
      <c r="N68" s="34"/>
      <c r="P68" s="34"/>
      <c r="Q68" s="34"/>
      <c r="R68" s="34"/>
      <c r="S68" s="172"/>
      <c r="T68" s="34"/>
      <c r="U68" s="339"/>
      <c r="V68" s="923"/>
      <c r="W68" s="911" t="str">
        <f>IF($S72=$S74," ",IF($S72&gt;$S74,$P72,$P74))</f>
        <v>STV Kirchberg  ( NLB W )</v>
      </c>
      <c r="X68" s="912"/>
      <c r="Y68" s="913"/>
      <c r="Z68" s="910">
        <f>Eigaben!L66</f>
        <v>5</v>
      </c>
      <c r="AA68" s="918"/>
      <c r="AB68" s="336"/>
      <c r="AD68" s="34"/>
      <c r="AE68" s="34"/>
      <c r="AF68" s="34"/>
      <c r="AG68" s="34"/>
      <c r="AH68" s="20"/>
    </row>
    <row r="69" spans="1:34" ht="8.15" customHeight="1" thickBot="1">
      <c r="A69" s="962"/>
      <c r="B69" s="884"/>
      <c r="C69" s="330"/>
      <c r="D69" s="330"/>
      <c r="E69" s="963"/>
      <c r="F69" s="884"/>
      <c r="G69" s="962">
        <v>11</v>
      </c>
      <c r="H69" s="947">
        <f>Eigaben!F38</f>
        <v>60</v>
      </c>
      <c r="I69" s="898" t="str">
        <f>IF(H69=0," ",VLOOKUP($H69,Eigaben!$Y$17:$Z$94,2,1))</f>
        <v>STV Schlieren ( NLB O )</v>
      </c>
      <c r="J69" s="899"/>
      <c r="K69" s="900"/>
      <c r="L69" s="893">
        <f>IF(Eigaben!L38=0,"",Eigaben!L38)</f>
        <v>5</v>
      </c>
      <c r="M69" s="34"/>
      <c r="N69" s="34"/>
      <c r="P69" s="34"/>
      <c r="Q69" s="34"/>
      <c r="R69" s="34"/>
      <c r="S69" s="172"/>
      <c r="T69" s="34"/>
      <c r="U69" s="336"/>
      <c r="V69" s="923"/>
      <c r="W69" s="914"/>
      <c r="X69" s="915"/>
      <c r="Y69" s="916"/>
      <c r="Z69" s="917"/>
      <c r="AA69" s="904"/>
      <c r="AB69" s="336"/>
      <c r="AD69" s="34"/>
      <c r="AE69" s="34"/>
      <c r="AF69" s="34"/>
      <c r="AG69" s="34"/>
      <c r="AH69" s="20"/>
    </row>
    <row r="70" spans="1:34" ht="8.15" customHeight="1" thickBot="1">
      <c r="A70" s="962"/>
      <c r="B70" s="884"/>
      <c r="C70" s="330"/>
      <c r="D70" s="330"/>
      <c r="E70" s="963"/>
      <c r="F70" s="884"/>
      <c r="G70" s="962"/>
      <c r="H70" s="947"/>
      <c r="I70" s="901"/>
      <c r="J70" s="902"/>
      <c r="K70" s="903"/>
      <c r="L70" s="894"/>
      <c r="M70" s="339"/>
      <c r="N70" s="34"/>
      <c r="P70" s="34"/>
      <c r="Q70" s="34"/>
      <c r="R70" s="34"/>
      <c r="S70" s="172"/>
      <c r="T70" s="34"/>
      <c r="U70" s="336"/>
      <c r="W70" s="335"/>
      <c r="X70" s="335"/>
      <c r="Y70" s="335"/>
      <c r="Z70" s="34"/>
      <c r="AA70" s="34"/>
      <c r="AB70" s="336"/>
      <c r="AD70" s="34"/>
      <c r="AE70" s="34"/>
      <c r="AF70" s="34"/>
      <c r="AG70" s="34"/>
      <c r="AH70" s="20"/>
    </row>
    <row r="71" spans="1:34" ht="8.15" customHeight="1" thickBot="1">
      <c r="A71" s="962"/>
      <c r="B71" s="884"/>
      <c r="C71" s="330"/>
      <c r="D71" s="330"/>
      <c r="E71" s="963"/>
      <c r="F71" s="884"/>
      <c r="G71" s="962"/>
      <c r="H71" s="947">
        <f>Eigaben!G38</f>
        <v>62</v>
      </c>
      <c r="I71" s="901" t="str">
        <f>IF(H71=0," ",VLOOKUP($H71,Eigaben!$Y$17:$Z$94,2,1))</f>
        <v>FB Schwellbrunn ( NLB  O)</v>
      </c>
      <c r="J71" s="902"/>
      <c r="K71" s="903"/>
      <c r="L71" s="894">
        <f>IF(Eigaben!N38=0,"",Eigaben!N38)</f>
        <v>1</v>
      </c>
      <c r="M71" s="34"/>
      <c r="N71" s="336"/>
      <c r="P71" s="34"/>
      <c r="Q71" s="34"/>
      <c r="R71" s="34"/>
      <c r="S71" s="172"/>
      <c r="T71" s="34"/>
      <c r="U71" s="336"/>
      <c r="W71" s="335"/>
      <c r="X71" s="335"/>
      <c r="Y71" s="335"/>
      <c r="Z71" s="34"/>
      <c r="AA71" s="34"/>
      <c r="AB71" s="336"/>
      <c r="AD71" s="34"/>
      <c r="AE71" s="34"/>
      <c r="AF71" s="34"/>
      <c r="AG71" s="34"/>
      <c r="AH71" s="20"/>
    </row>
    <row r="72" spans="1:34" ht="8.15" customHeight="1" thickBot="1">
      <c r="A72" s="962"/>
      <c r="B72" s="884"/>
      <c r="C72" s="330"/>
      <c r="D72" s="330"/>
      <c r="E72" s="963"/>
      <c r="F72" s="884"/>
      <c r="G72" s="962"/>
      <c r="H72" s="947"/>
      <c r="I72" s="919"/>
      <c r="J72" s="920"/>
      <c r="K72" s="921"/>
      <c r="L72" s="922"/>
      <c r="M72" s="34"/>
      <c r="N72" s="337"/>
      <c r="O72" s="923">
        <v>22</v>
      </c>
      <c r="P72" s="887" t="str">
        <f>IF($L69=$L71," ",IF($L69&gt;$L71,$I69,$I71))</f>
        <v>STV Schlieren ( NLB O )</v>
      </c>
      <c r="Q72" s="888"/>
      <c r="R72" s="889"/>
      <c r="S72" s="893">
        <f>Eigaben!N55</f>
        <v>0</v>
      </c>
      <c r="T72" s="904"/>
      <c r="U72" s="336"/>
      <c r="W72" s="335"/>
      <c r="X72" s="335"/>
      <c r="Y72" s="335"/>
      <c r="Z72" s="34"/>
      <c r="AA72" s="34"/>
      <c r="AB72" s="336"/>
      <c r="AD72" s="34"/>
      <c r="AE72" s="34"/>
      <c r="AF72" s="34"/>
      <c r="AG72" s="34"/>
      <c r="AH72" s="20"/>
    </row>
    <row r="73" spans="1:34" ht="10" customHeight="1" thickBot="1">
      <c r="A73" s="321"/>
      <c r="B73" s="34"/>
      <c r="C73" s="34"/>
      <c r="D73" s="34"/>
      <c r="E73" s="34"/>
      <c r="F73" s="34"/>
      <c r="G73" s="321"/>
      <c r="H73" s="34"/>
      <c r="I73" s="335"/>
      <c r="J73" s="335"/>
      <c r="K73" s="335"/>
      <c r="L73" s="182"/>
      <c r="M73" s="34"/>
      <c r="N73" s="34"/>
      <c r="O73" s="923"/>
      <c r="P73" s="890"/>
      <c r="Q73" s="891"/>
      <c r="R73" s="892"/>
      <c r="S73" s="894"/>
      <c r="T73" s="905"/>
      <c r="U73" s="336"/>
      <c r="W73" s="335"/>
      <c r="X73" s="335"/>
      <c r="Y73" s="335"/>
      <c r="Z73" s="34"/>
      <c r="AA73" s="34"/>
      <c r="AB73" s="336"/>
      <c r="AD73" s="34"/>
      <c r="AE73" s="34"/>
      <c r="AF73" s="34"/>
      <c r="AG73" s="34"/>
      <c r="AH73" s="20"/>
    </row>
    <row r="74" spans="1:34" ht="10" customHeight="1" thickBot="1">
      <c r="A74" s="321"/>
      <c r="B74" s="34"/>
      <c r="C74" s="34"/>
      <c r="D74" s="34"/>
      <c r="E74" s="34"/>
      <c r="F74" s="34"/>
      <c r="G74" s="321"/>
      <c r="H74" s="34"/>
      <c r="I74" s="335"/>
      <c r="J74" s="335"/>
      <c r="K74" s="335"/>
      <c r="L74" s="182"/>
      <c r="M74" s="34"/>
      <c r="N74" s="339"/>
      <c r="O74" s="923"/>
      <c r="P74" s="911" t="str">
        <f>IF($L75=$L77," ",IF($L75&gt;$L77,$I75,$I77))</f>
        <v>STV Kirchberg  ( NLB W )</v>
      </c>
      <c r="Q74" s="912"/>
      <c r="R74" s="913"/>
      <c r="S74" s="894">
        <f>Eigaben!L55</f>
        <v>5</v>
      </c>
      <c r="T74" s="895" t="s">
        <v>620</v>
      </c>
      <c r="U74" s="34"/>
      <c r="W74" s="335"/>
      <c r="X74" s="335"/>
      <c r="Y74" s="335"/>
      <c r="Z74" s="34"/>
      <c r="AA74" s="34"/>
      <c r="AB74" s="336"/>
      <c r="AD74" s="34"/>
      <c r="AE74" s="34"/>
      <c r="AF74" s="34"/>
      <c r="AG74" s="34"/>
      <c r="AH74" s="20"/>
    </row>
    <row r="75" spans="1:34" ht="8.15" customHeight="1" thickBot="1">
      <c r="A75" s="962"/>
      <c r="B75" s="884"/>
      <c r="C75" s="1045" t="s">
        <v>652</v>
      </c>
      <c r="D75" s="1046"/>
      <c r="E75" s="1047"/>
      <c r="F75" s="884"/>
      <c r="G75" s="962">
        <v>12</v>
      </c>
      <c r="H75" s="947">
        <f>Eigaben!F39</f>
        <v>44</v>
      </c>
      <c r="I75" s="898" t="str">
        <f>IF(H75=0," ",VLOOKUP($H75,Eigaben!$Y$17:$Z$94,2,1))</f>
        <v>STV Oberentfelden   ( 2. Liga )</v>
      </c>
      <c r="J75" s="899"/>
      <c r="K75" s="900"/>
      <c r="L75" s="893">
        <f>IF(Eigaben!L39=0,"",Eigaben!L39)</f>
        <v>5</v>
      </c>
      <c r="M75" s="904"/>
      <c r="N75" s="336"/>
      <c r="O75" s="923"/>
      <c r="P75" s="914"/>
      <c r="Q75" s="915"/>
      <c r="R75" s="916"/>
      <c r="S75" s="922"/>
      <c r="T75" s="896"/>
      <c r="U75" s="34"/>
      <c r="W75" s="335"/>
      <c r="X75" s="335"/>
      <c r="Y75" s="335"/>
      <c r="Z75" s="34"/>
      <c r="AA75" s="34"/>
      <c r="AB75" s="336"/>
      <c r="AD75" s="34"/>
      <c r="AE75" s="34"/>
      <c r="AF75" s="34"/>
      <c r="AG75" s="34"/>
      <c r="AH75" s="20"/>
    </row>
    <row r="76" spans="1:34" ht="8.15" customHeight="1" thickBot="1">
      <c r="A76" s="962"/>
      <c r="B76" s="884"/>
      <c r="C76" s="1048"/>
      <c r="D76" s="1049"/>
      <c r="E76" s="1050"/>
      <c r="F76" s="884"/>
      <c r="G76" s="962"/>
      <c r="H76" s="947"/>
      <c r="I76" s="901"/>
      <c r="J76" s="902"/>
      <c r="K76" s="903"/>
      <c r="L76" s="894"/>
      <c r="M76" s="905"/>
      <c r="N76" s="336"/>
      <c r="P76" s="34"/>
      <c r="Q76" s="34"/>
      <c r="R76" s="34"/>
      <c r="S76" s="172"/>
      <c r="T76" s="34"/>
      <c r="U76" s="34"/>
      <c r="W76" s="335"/>
      <c r="X76" s="335"/>
      <c r="Y76" s="335"/>
      <c r="Z76" s="34"/>
      <c r="AA76" s="34"/>
      <c r="AB76" s="336"/>
      <c r="AD76" s="34"/>
      <c r="AE76" s="34"/>
      <c r="AF76" s="34"/>
      <c r="AG76" s="884"/>
      <c r="AH76" s="20"/>
    </row>
    <row r="77" spans="1:34" ht="8.15" customHeight="1" thickBot="1">
      <c r="A77" s="962"/>
      <c r="B77" s="884"/>
      <c r="C77" s="1048"/>
      <c r="D77" s="1049"/>
      <c r="E77" s="1050"/>
      <c r="F77" s="884"/>
      <c r="G77" s="962"/>
      <c r="H77" s="947">
        <f>Eigaben!G39</f>
        <v>57</v>
      </c>
      <c r="I77" s="901" t="str">
        <f>IF(H77=0," ",VLOOKUP($H77,Eigaben!$Y$17:$Z$94,2,1))</f>
        <v>STV Kirchberg  ( NLB W )</v>
      </c>
      <c r="J77" s="902"/>
      <c r="K77" s="903"/>
      <c r="L77" s="894" t="str">
        <f>IF(Eigaben!N39=0,"",Eigaben!N39)</f>
        <v/>
      </c>
      <c r="M77" s="895"/>
      <c r="N77" s="34"/>
      <c r="P77" s="34"/>
      <c r="Q77" s="34"/>
      <c r="R77" s="34"/>
      <c r="S77" s="172"/>
      <c r="T77" s="34"/>
      <c r="U77" s="34"/>
      <c r="W77" s="335"/>
      <c r="X77" s="335"/>
      <c r="Y77" s="335"/>
      <c r="Z77" s="34"/>
      <c r="AA77" s="34"/>
      <c r="AB77" s="336"/>
      <c r="AD77" s="34"/>
      <c r="AE77" s="34"/>
      <c r="AF77" s="34"/>
      <c r="AG77" s="885"/>
      <c r="AH77" s="20"/>
    </row>
    <row r="78" spans="1:34" ht="8.15" customHeight="1" thickBot="1">
      <c r="A78" s="962"/>
      <c r="B78" s="884"/>
      <c r="C78" s="1048"/>
      <c r="D78" s="1049"/>
      <c r="E78" s="1050"/>
      <c r="F78" s="884"/>
      <c r="G78" s="962"/>
      <c r="H78" s="947"/>
      <c r="I78" s="919"/>
      <c r="J78" s="920"/>
      <c r="K78" s="921"/>
      <c r="L78" s="922"/>
      <c r="M78" s="896"/>
      <c r="N78" s="34"/>
      <c r="P78" s="34"/>
      <c r="Q78" s="34"/>
      <c r="R78" s="34"/>
      <c r="S78" s="172"/>
      <c r="T78" s="34"/>
      <c r="U78" s="34"/>
      <c r="W78" s="335"/>
      <c r="X78" s="335"/>
      <c r="Y78" s="335"/>
      <c r="Z78" s="34"/>
      <c r="AA78" s="343"/>
      <c r="AB78" s="339"/>
      <c r="AC78" s="962">
        <v>30</v>
      </c>
      <c r="AD78" s="887" t="str">
        <f>IF($Z66=$Z68," ",IF($Z66&gt;$Z68,$W66,$W68))</f>
        <v>STV Kirchberg  ( NLB W )</v>
      </c>
      <c r="AE78" s="888"/>
      <c r="AF78" s="889"/>
      <c r="AG78" s="909">
        <f>Eigaben!L74</f>
        <v>0</v>
      </c>
      <c r="AH78" s="20"/>
    </row>
    <row r="79" spans="1:34" ht="10" customHeight="1">
      <c r="A79" s="321"/>
      <c r="B79" s="34"/>
      <c r="C79" s="1051"/>
      <c r="D79" s="1052"/>
      <c r="E79" s="1053"/>
      <c r="F79" s="34"/>
      <c r="G79" s="321"/>
      <c r="H79" s="34"/>
      <c r="I79" s="335"/>
      <c r="J79" s="335"/>
      <c r="K79" s="335"/>
      <c r="L79" s="182"/>
      <c r="M79" s="34"/>
      <c r="N79" s="34"/>
      <c r="P79" s="34"/>
      <c r="Q79" s="34"/>
      <c r="R79" s="34"/>
      <c r="S79" s="172"/>
      <c r="T79" s="34"/>
      <c r="U79" s="34"/>
      <c r="W79" s="335"/>
      <c r="X79" s="335"/>
      <c r="Y79" s="335"/>
      <c r="Z79" s="34"/>
      <c r="AA79" s="34"/>
      <c r="AB79" s="34"/>
      <c r="AC79" s="962"/>
      <c r="AD79" s="890"/>
      <c r="AE79" s="891"/>
      <c r="AF79" s="892"/>
      <c r="AG79" s="910"/>
      <c r="AH79" s="20"/>
    </row>
    <row r="80" spans="1:34" ht="10" customHeight="1" thickBot="1">
      <c r="A80" s="321"/>
      <c r="B80" s="34"/>
      <c r="C80" s="34"/>
      <c r="D80" s="34"/>
      <c r="E80" s="34"/>
      <c r="F80" s="34"/>
      <c r="G80" s="321"/>
      <c r="H80" s="34"/>
      <c r="I80" s="335"/>
      <c r="J80" s="335"/>
      <c r="K80" s="335"/>
      <c r="L80" s="182"/>
      <c r="M80" s="34"/>
      <c r="N80" s="34"/>
      <c r="P80" s="34"/>
      <c r="Q80" s="34"/>
      <c r="R80" s="34"/>
      <c r="S80" s="172"/>
      <c r="T80" s="34"/>
      <c r="U80" s="34"/>
      <c r="W80" s="335"/>
      <c r="X80" s="335"/>
      <c r="Y80" s="335"/>
      <c r="Z80" s="34"/>
      <c r="AA80" s="34"/>
      <c r="AB80" s="339"/>
      <c r="AC80" s="962"/>
      <c r="AD80" s="911" t="str">
        <f>IF($Z90=$Z92," ",IF($Z90&gt;$Z92,$W90,$W92))</f>
        <v>FG Elgg-Ettenhausen 1 ( NLA )</v>
      </c>
      <c r="AE80" s="912"/>
      <c r="AF80" s="913"/>
      <c r="AG80" s="910">
        <f>Eigaben!N74</f>
        <v>0</v>
      </c>
      <c r="AH80" s="20"/>
    </row>
    <row r="81" spans="1:34" ht="8.15" customHeight="1" thickBot="1">
      <c r="A81" s="962"/>
      <c r="B81" s="884"/>
      <c r="C81" s="963" t="s">
        <v>748</v>
      </c>
      <c r="D81" s="963"/>
      <c r="E81" s="963"/>
      <c r="F81" s="884"/>
      <c r="G81" s="962">
        <v>13</v>
      </c>
      <c r="H81" s="947">
        <f>Eigaben!F40</f>
        <v>48</v>
      </c>
      <c r="I81" s="898" t="str">
        <f>IF(H81=0," ",VLOOKUP($H81,Eigaben!$Y$17:$Z$94,2,1))</f>
        <v>STV Alpnach  ( 1. Liga ) W</v>
      </c>
      <c r="J81" s="899"/>
      <c r="K81" s="900"/>
      <c r="L81" s="893">
        <f>IF(Eigaben!L40=0,"",Eigaben!L40)</f>
        <v>5</v>
      </c>
      <c r="M81" s="896"/>
      <c r="N81" s="34"/>
      <c r="P81" s="34"/>
      <c r="Q81" s="34"/>
      <c r="R81" s="34"/>
      <c r="S81" s="172"/>
      <c r="T81" s="34"/>
      <c r="U81" s="34"/>
      <c r="W81" s="335"/>
      <c r="X81" s="335"/>
      <c r="Y81" s="335"/>
      <c r="Z81" s="34"/>
      <c r="AA81" s="34"/>
      <c r="AB81" s="336"/>
      <c r="AC81" s="962"/>
      <c r="AD81" s="914"/>
      <c r="AE81" s="915"/>
      <c r="AF81" s="916"/>
      <c r="AG81" s="917"/>
      <c r="AH81" s="20"/>
    </row>
    <row r="82" spans="1:34" ht="8.15" customHeight="1" thickBot="1">
      <c r="A82" s="962"/>
      <c r="B82" s="884"/>
      <c r="C82" s="963"/>
      <c r="D82" s="963"/>
      <c r="E82" s="963"/>
      <c r="F82" s="884"/>
      <c r="G82" s="962"/>
      <c r="H82" s="947"/>
      <c r="I82" s="901"/>
      <c r="J82" s="902"/>
      <c r="K82" s="903"/>
      <c r="L82" s="894"/>
      <c r="M82" s="908"/>
      <c r="N82" s="34"/>
      <c r="P82" s="34"/>
      <c r="Q82" s="34"/>
      <c r="R82" s="34"/>
      <c r="S82" s="172"/>
      <c r="T82" s="34"/>
      <c r="U82" s="34"/>
      <c r="W82" s="335"/>
      <c r="X82" s="335"/>
      <c r="Y82" s="335"/>
      <c r="Z82" s="34"/>
      <c r="AA82" s="34"/>
      <c r="AB82" s="336"/>
      <c r="AD82" s="34"/>
      <c r="AE82" s="34"/>
      <c r="AF82" s="34"/>
      <c r="AG82" s="966"/>
      <c r="AH82" s="20"/>
    </row>
    <row r="83" spans="1:34" ht="8.15" customHeight="1" thickBot="1">
      <c r="A83" s="962"/>
      <c r="B83" s="884"/>
      <c r="C83" s="330"/>
      <c r="D83" s="330"/>
      <c r="E83" s="335"/>
      <c r="F83" s="884"/>
      <c r="G83" s="962"/>
      <c r="H83" s="947">
        <f>Eigaben!G40</f>
        <v>61</v>
      </c>
      <c r="I83" s="901" t="str">
        <f>IF(H83=0," ",VLOOKUP($H83,Eigaben!$Y$17:$Z$94,2,1))</f>
        <v>STV Schlossrued ( NLB W )</v>
      </c>
      <c r="J83" s="902"/>
      <c r="K83" s="903"/>
      <c r="L83" s="894">
        <f>IF(Eigaben!N40=0,"",Eigaben!N40)</f>
        <v>2</v>
      </c>
      <c r="M83" s="918"/>
      <c r="N83" s="336"/>
      <c r="P83" s="34"/>
      <c r="Q83" s="34"/>
      <c r="R83" s="34"/>
      <c r="S83" s="172"/>
      <c r="T83" s="34"/>
      <c r="U83" s="34"/>
      <c r="W83" s="335"/>
      <c r="X83" s="335"/>
      <c r="Y83" s="335"/>
      <c r="Z83" s="34"/>
      <c r="AA83" s="34"/>
      <c r="AB83" s="336"/>
      <c r="AD83" s="34"/>
      <c r="AE83" s="34"/>
      <c r="AF83" s="34"/>
      <c r="AG83" s="884"/>
      <c r="AH83" s="20"/>
    </row>
    <row r="84" spans="1:34" ht="8.15" customHeight="1" thickBot="1">
      <c r="A84" s="962"/>
      <c r="B84" s="884"/>
      <c r="C84" s="330"/>
      <c r="D84" s="330"/>
      <c r="E84" s="330"/>
      <c r="F84" s="884"/>
      <c r="G84" s="962"/>
      <c r="H84" s="947"/>
      <c r="I84" s="919"/>
      <c r="J84" s="920"/>
      <c r="K84" s="921"/>
      <c r="L84" s="922"/>
      <c r="M84" s="904"/>
      <c r="N84" s="337"/>
      <c r="O84" s="923">
        <v>23</v>
      </c>
      <c r="P84" s="887" t="str">
        <f>IF($L81=$L83," ",IF($L81&gt;$L83,$I81,$I83))</f>
        <v>STV Alpnach  ( 1. Liga ) W</v>
      </c>
      <c r="Q84" s="888"/>
      <c r="R84" s="889"/>
      <c r="S84" s="893">
        <f>Eigaben!N56</f>
        <v>5</v>
      </c>
      <c r="T84" s="896"/>
      <c r="U84" s="34"/>
      <c r="W84" s="335"/>
      <c r="X84" s="335"/>
      <c r="Y84" s="335"/>
      <c r="Z84" s="34"/>
      <c r="AA84" s="34"/>
      <c r="AB84" s="336"/>
      <c r="AD84" s="34"/>
      <c r="AE84" s="34"/>
      <c r="AF84" s="34"/>
      <c r="AG84" s="34"/>
      <c r="AH84" s="20"/>
    </row>
    <row r="85" spans="1:34" ht="10" customHeight="1" thickBot="1">
      <c r="A85" s="321"/>
      <c r="B85" s="34"/>
      <c r="C85" s="330"/>
      <c r="D85" s="330"/>
      <c r="E85" s="330"/>
      <c r="F85" s="34"/>
      <c r="G85" s="321"/>
      <c r="H85" s="34"/>
      <c r="I85" s="335"/>
      <c r="J85" s="335"/>
      <c r="K85" s="335"/>
      <c r="L85" s="182"/>
      <c r="M85" s="34"/>
      <c r="N85" s="34"/>
      <c r="O85" s="923"/>
      <c r="P85" s="890"/>
      <c r="Q85" s="891"/>
      <c r="R85" s="892"/>
      <c r="S85" s="894"/>
      <c r="T85" s="908"/>
      <c r="U85" s="34"/>
      <c r="W85" s="335"/>
      <c r="X85" s="335"/>
      <c r="Y85" s="335"/>
      <c r="Z85" s="34"/>
      <c r="AA85" s="34"/>
      <c r="AB85" s="336"/>
      <c r="AD85" s="34"/>
      <c r="AE85" s="34"/>
      <c r="AF85" s="34"/>
      <c r="AG85" s="34"/>
      <c r="AH85" s="20"/>
    </row>
    <row r="86" spans="1:34" ht="10" customHeight="1" thickBot="1">
      <c r="A86" s="321"/>
      <c r="B86" s="34"/>
      <c r="C86" s="963" t="s">
        <v>653</v>
      </c>
      <c r="D86" s="963"/>
      <c r="E86" s="963"/>
      <c r="F86" s="963"/>
      <c r="G86" s="321"/>
      <c r="H86" s="34"/>
      <c r="I86" s="335"/>
      <c r="J86" s="335"/>
      <c r="K86" s="335"/>
      <c r="L86" s="182"/>
      <c r="M86" s="34"/>
      <c r="N86" s="339"/>
      <c r="O86" s="923"/>
      <c r="P86" s="911" t="str">
        <f>IF($L87=$L89," ",IF($L87&gt;$L89,$I87,$I89))</f>
        <v>STV Elgg ( 2. Liga )</v>
      </c>
      <c r="Q86" s="912"/>
      <c r="R86" s="913"/>
      <c r="S86" s="894">
        <f>Eigaben!L56</f>
        <v>2</v>
      </c>
      <c r="T86" s="918" t="s">
        <v>620</v>
      </c>
      <c r="U86" s="336"/>
      <c r="W86" s="335"/>
      <c r="X86" s="335"/>
      <c r="Y86" s="335"/>
      <c r="Z86" s="34"/>
      <c r="AA86" s="34"/>
      <c r="AB86" s="336"/>
      <c r="AD86" s="34"/>
      <c r="AE86" s="34"/>
      <c r="AF86" s="34"/>
      <c r="AG86" s="34"/>
      <c r="AH86" s="20"/>
    </row>
    <row r="87" spans="1:34" ht="8.15" customHeight="1" thickBot="1">
      <c r="A87" s="962"/>
      <c r="B87" s="884"/>
      <c r="C87" s="963"/>
      <c r="D87" s="963"/>
      <c r="E87" s="963"/>
      <c r="F87" s="963"/>
      <c r="G87" s="962">
        <v>14</v>
      </c>
      <c r="H87" s="947">
        <v>9</v>
      </c>
      <c r="I87" s="898" t="str">
        <f>IF(H87=0," ",VLOOKUP($H87,Eigaben!$Y$17:$Z$94,2,1))</f>
        <v>STV Elgg ( 2. Liga )</v>
      </c>
      <c r="J87" s="899"/>
      <c r="K87" s="900"/>
      <c r="L87" s="893" t="str">
        <f>IF(Eigaben!L41=0,"",Eigaben!L41)</f>
        <v/>
      </c>
      <c r="M87" s="904"/>
      <c r="N87" s="336"/>
      <c r="O87" s="923"/>
      <c r="P87" s="914"/>
      <c r="Q87" s="915"/>
      <c r="R87" s="916"/>
      <c r="S87" s="922"/>
      <c r="T87" s="904"/>
      <c r="U87" s="336"/>
      <c r="W87" s="335"/>
      <c r="X87" s="335"/>
      <c r="Y87" s="335"/>
      <c r="Z87" s="34"/>
      <c r="AA87" s="34"/>
      <c r="AB87" s="336"/>
      <c r="AD87" s="34"/>
      <c r="AE87" s="34"/>
      <c r="AF87" s="34"/>
      <c r="AG87" s="34"/>
      <c r="AH87" s="20"/>
    </row>
    <row r="88" spans="1:34" ht="8.15" customHeight="1" thickBot="1">
      <c r="A88" s="962"/>
      <c r="B88" s="884"/>
      <c r="C88" s="330"/>
      <c r="D88" s="330"/>
      <c r="E88" s="479"/>
      <c r="F88" s="479"/>
      <c r="G88" s="962"/>
      <c r="H88" s="947"/>
      <c r="I88" s="901"/>
      <c r="J88" s="902"/>
      <c r="K88" s="903"/>
      <c r="L88" s="894"/>
      <c r="M88" s="905"/>
      <c r="N88" s="336"/>
      <c r="P88" s="34"/>
      <c r="Q88" s="34"/>
      <c r="R88" s="34"/>
      <c r="S88" s="172"/>
      <c r="T88" s="34"/>
      <c r="U88" s="336"/>
      <c r="W88" s="335"/>
      <c r="X88" s="335"/>
      <c r="Y88" s="335"/>
      <c r="Z88" s="34"/>
      <c r="AA88" s="34"/>
      <c r="AB88" s="336"/>
      <c r="AD88" s="34"/>
      <c r="AE88" s="34"/>
      <c r="AF88" s="34"/>
      <c r="AG88" s="34"/>
      <c r="AH88" s="20"/>
    </row>
    <row r="89" spans="1:34" ht="8.15" customHeight="1" thickBot="1">
      <c r="A89" s="962"/>
      <c r="B89" s="884"/>
      <c r="C89" s="330"/>
      <c r="D89" s="330"/>
      <c r="E89" s="344"/>
      <c r="F89" s="884"/>
      <c r="G89" s="962"/>
      <c r="H89" s="947">
        <f>Eigaben!G41</f>
        <v>69</v>
      </c>
      <c r="I89" s="901" t="str">
        <f>IF(H89=0," ",VLOOKUP($H89,Eigaben!$Y$17:$Z$94,2,1))</f>
        <v>FG Rickenbach-Wilen ( NLA )</v>
      </c>
      <c r="J89" s="902"/>
      <c r="K89" s="903"/>
      <c r="L89" s="894">
        <f>IF(Eigaben!N41=0,"",Eigaben!N41)</f>
        <v>5</v>
      </c>
      <c r="M89" s="895"/>
      <c r="N89" s="34"/>
      <c r="P89" s="34"/>
      <c r="Q89" s="34"/>
      <c r="R89" s="34"/>
      <c r="S89" s="172"/>
      <c r="T89" s="34"/>
      <c r="U89" s="336"/>
      <c r="W89" s="335"/>
      <c r="X89" s="335"/>
      <c r="Y89" s="335"/>
      <c r="Z89" s="34"/>
      <c r="AA89" s="34"/>
      <c r="AB89" s="336"/>
      <c r="AD89" s="34"/>
      <c r="AE89" s="34"/>
      <c r="AF89" s="34"/>
      <c r="AG89" s="34"/>
      <c r="AH89" s="20"/>
    </row>
    <row r="90" spans="1:34" ht="8.15" customHeight="1" thickBot="1">
      <c r="A90" s="962"/>
      <c r="B90" s="884"/>
      <c r="C90" s="330"/>
      <c r="D90" s="330"/>
      <c r="E90" s="344"/>
      <c r="F90" s="884"/>
      <c r="G90" s="962"/>
      <c r="H90" s="947"/>
      <c r="I90" s="919"/>
      <c r="J90" s="920"/>
      <c r="K90" s="921"/>
      <c r="L90" s="922"/>
      <c r="M90" s="896"/>
      <c r="N90" s="34"/>
      <c r="P90" s="34"/>
      <c r="Q90" s="34"/>
      <c r="R90" s="34"/>
      <c r="S90" s="172"/>
      <c r="T90" s="34"/>
      <c r="U90" s="337"/>
      <c r="V90" s="923">
        <v>28</v>
      </c>
      <c r="W90" s="887" t="str">
        <f>IF($S84=$S86," ",IF($S84&gt;$S86,$P84,$P86))</f>
        <v>STV Alpnach  ( 1. Liga ) W</v>
      </c>
      <c r="X90" s="888"/>
      <c r="Y90" s="889"/>
      <c r="Z90" s="909">
        <f>Eigaben!L67</f>
        <v>3</v>
      </c>
      <c r="AA90" s="904" t="s">
        <v>620</v>
      </c>
      <c r="AB90" s="336"/>
      <c r="AD90" s="34"/>
      <c r="AE90" s="34"/>
      <c r="AF90" s="34"/>
      <c r="AG90" s="34"/>
      <c r="AH90" s="20"/>
    </row>
    <row r="91" spans="1:34" ht="10" customHeight="1" thickBot="1">
      <c r="A91" s="321"/>
      <c r="B91" s="34"/>
      <c r="G91" s="321"/>
      <c r="H91" s="34"/>
      <c r="I91" s="335"/>
      <c r="J91" s="335"/>
      <c r="K91" s="335"/>
      <c r="L91" s="182"/>
      <c r="M91" s="34"/>
      <c r="N91" s="34"/>
      <c r="P91" s="34"/>
      <c r="Q91" s="34"/>
      <c r="R91" s="34"/>
      <c r="S91" s="172"/>
      <c r="T91" s="34"/>
      <c r="U91" s="34"/>
      <c r="V91" s="923"/>
      <c r="W91" s="890"/>
      <c r="X91" s="891"/>
      <c r="Y91" s="892"/>
      <c r="Z91" s="910"/>
      <c r="AA91" s="905"/>
      <c r="AB91" s="336"/>
      <c r="AD91" s="34"/>
      <c r="AE91" s="34"/>
      <c r="AF91" s="34"/>
      <c r="AG91" s="34"/>
      <c r="AH91" s="20"/>
    </row>
    <row r="92" spans="1:34" ht="10" customHeight="1" thickBot="1">
      <c r="A92" s="321"/>
      <c r="B92" s="34"/>
      <c r="C92" s="886" t="s">
        <v>747</v>
      </c>
      <c r="D92" s="886"/>
      <c r="E92" s="886"/>
      <c r="G92" s="321"/>
      <c r="H92" s="34"/>
      <c r="I92" s="335"/>
      <c r="J92" s="335"/>
      <c r="K92" s="335"/>
      <c r="L92" s="182"/>
      <c r="M92" s="34"/>
      <c r="N92" s="34"/>
      <c r="P92" s="34"/>
      <c r="Q92" s="34"/>
      <c r="R92" s="34"/>
      <c r="S92" s="172"/>
      <c r="T92" s="34"/>
      <c r="U92" s="339"/>
      <c r="V92" s="923"/>
      <c r="W92" s="911" t="str">
        <f>IF($S96=$S98," ",IF($S96&gt;$S98,$P96,$P98))</f>
        <v>FG Elgg-Ettenhausen 1 ( NLA )</v>
      </c>
      <c r="X92" s="912"/>
      <c r="Y92" s="913"/>
      <c r="Z92" s="910">
        <f>Eigaben!N67</f>
        <v>5</v>
      </c>
      <c r="AA92" s="895"/>
      <c r="AB92" s="34"/>
      <c r="AD92" s="34"/>
      <c r="AE92" s="34"/>
      <c r="AF92" s="34"/>
      <c r="AG92" s="34"/>
      <c r="AH92" s="20"/>
    </row>
    <row r="93" spans="1:34" ht="8.15" customHeight="1" thickBot="1">
      <c r="A93" s="962"/>
      <c r="B93" s="884"/>
      <c r="C93" s="886"/>
      <c r="D93" s="886"/>
      <c r="E93" s="886"/>
      <c r="F93" s="963"/>
      <c r="G93" s="962">
        <v>15</v>
      </c>
      <c r="H93" s="947">
        <v>43</v>
      </c>
      <c r="I93" s="898" t="str">
        <f>IF(H93=0," ",VLOOKUP($H93,Eigaben!$Y$17:$Z$94,2,1))</f>
        <v>STV Müllheim ( 2. L )</v>
      </c>
      <c r="J93" s="899"/>
      <c r="K93" s="900"/>
      <c r="L93" s="893">
        <f>IF(Eigaben!L42=0,"",Eigaben!L42)</f>
        <v>2</v>
      </c>
      <c r="M93" s="896"/>
      <c r="N93" s="34"/>
      <c r="P93" s="34"/>
      <c r="Q93" s="34"/>
      <c r="R93" s="34"/>
      <c r="S93" s="172"/>
      <c r="T93" s="34"/>
      <c r="U93" s="336"/>
      <c r="V93" s="923"/>
      <c r="W93" s="914"/>
      <c r="X93" s="915"/>
      <c r="Y93" s="916"/>
      <c r="Z93" s="917"/>
      <c r="AA93" s="896"/>
      <c r="AB93" s="34"/>
      <c r="AD93" s="34"/>
      <c r="AE93" s="34"/>
      <c r="AF93" s="34"/>
      <c r="AG93" s="34"/>
      <c r="AH93" s="20"/>
    </row>
    <row r="94" spans="1:34" ht="8.15" customHeight="1" thickBot="1">
      <c r="A94" s="962"/>
      <c r="B94" s="884"/>
      <c r="C94" s="335"/>
      <c r="D94" s="335"/>
      <c r="E94" s="344"/>
      <c r="F94" s="963"/>
      <c r="G94" s="962"/>
      <c r="H94" s="947"/>
      <c r="I94" s="901"/>
      <c r="J94" s="902"/>
      <c r="K94" s="903"/>
      <c r="L94" s="894"/>
      <c r="M94" s="908"/>
      <c r="N94" s="34"/>
      <c r="P94" s="34"/>
      <c r="Q94" s="34"/>
      <c r="R94" s="34"/>
      <c r="S94" s="172"/>
      <c r="T94" s="34"/>
      <c r="U94" s="336"/>
      <c r="W94" s="335"/>
      <c r="X94" s="335"/>
      <c r="Y94" s="335"/>
      <c r="Z94" s="34"/>
      <c r="AA94" s="34"/>
      <c r="AB94" s="34"/>
      <c r="AD94" s="34"/>
      <c r="AE94" s="34"/>
      <c r="AF94" s="34"/>
      <c r="AG94" s="34"/>
      <c r="AH94" s="20"/>
    </row>
    <row r="95" spans="1:34" ht="8.15" customHeight="1" thickBot="1">
      <c r="A95" s="962"/>
      <c r="B95" s="884"/>
      <c r="D95" s="319"/>
      <c r="E95" s="319"/>
      <c r="F95" s="319"/>
      <c r="G95" s="962"/>
      <c r="H95" s="947">
        <f>Eigaben!G42</f>
        <v>47</v>
      </c>
      <c r="I95" s="901" t="str">
        <f>IF(H95=0," ",VLOOKUP($H95,Eigaben!$Y$17:$Z$94,2,1))</f>
        <v xml:space="preserve">TV Widnau ( 2. Liga F ) </v>
      </c>
      <c r="J95" s="902"/>
      <c r="K95" s="903"/>
      <c r="L95" s="894">
        <f>IF(Eigaben!N42=0,"",Eigaben!N42)</f>
        <v>5</v>
      </c>
      <c r="M95" s="918"/>
      <c r="N95" s="336"/>
      <c r="P95" s="34"/>
      <c r="Q95" s="34"/>
      <c r="R95" s="34"/>
      <c r="S95" s="172"/>
      <c r="T95" s="34"/>
      <c r="U95" s="336"/>
      <c r="W95" s="335"/>
      <c r="X95" s="335"/>
      <c r="Y95" s="335"/>
      <c r="Z95" s="34"/>
      <c r="AA95" s="34"/>
      <c r="AB95" s="954" t="s">
        <v>792</v>
      </c>
      <c r="AC95" s="955"/>
      <c r="AD95" s="955"/>
      <c r="AE95" s="955"/>
      <c r="AF95" s="955"/>
      <c r="AG95" s="956"/>
      <c r="AH95" s="342"/>
    </row>
    <row r="96" spans="1:34" ht="8.15" customHeight="1" thickBot="1">
      <c r="A96" s="962"/>
      <c r="B96" s="884"/>
      <c r="C96" s="963" t="s">
        <v>791</v>
      </c>
      <c r="D96" s="963"/>
      <c r="E96" s="963"/>
      <c r="F96" s="319"/>
      <c r="G96" s="962"/>
      <c r="H96" s="947"/>
      <c r="I96" s="919"/>
      <c r="J96" s="920"/>
      <c r="K96" s="921"/>
      <c r="L96" s="922"/>
      <c r="M96" s="904"/>
      <c r="N96" s="337"/>
      <c r="O96" s="923">
        <v>24</v>
      </c>
      <c r="P96" s="887" t="str">
        <f>IF($L93=$L95," ",IF($L93&gt;$L95,$I93,$I95))</f>
        <v xml:space="preserve">TV Widnau ( 2. Liga F ) </v>
      </c>
      <c r="Q96" s="888"/>
      <c r="R96" s="889"/>
      <c r="S96" s="893">
        <f>IF(Eigaben!$L$57=0,"",Eigaben!$L$57)</f>
        <v>4</v>
      </c>
      <c r="T96" s="904" t="s">
        <v>620</v>
      </c>
      <c r="U96" s="336"/>
      <c r="W96" s="335"/>
      <c r="X96" s="335"/>
      <c r="Y96" s="335"/>
      <c r="Z96" s="34"/>
      <c r="AA96" s="34"/>
      <c r="AB96" s="957"/>
      <c r="AC96" s="958"/>
      <c r="AD96" s="958"/>
      <c r="AE96" s="958"/>
      <c r="AF96" s="958"/>
      <c r="AG96" s="959"/>
      <c r="AH96" s="342"/>
    </row>
    <row r="97" spans="1:34" ht="10" customHeight="1" thickBot="1">
      <c r="A97" s="321"/>
      <c r="B97" s="34"/>
      <c r="C97" s="963"/>
      <c r="D97" s="963"/>
      <c r="E97" s="963"/>
      <c r="F97" s="335"/>
      <c r="G97" s="321"/>
      <c r="H97" s="34"/>
      <c r="I97" s="335"/>
      <c r="J97" s="335"/>
      <c r="K97" s="335"/>
      <c r="L97" s="182"/>
      <c r="M97" s="34"/>
      <c r="N97" s="34"/>
      <c r="O97" s="923"/>
      <c r="P97" s="890"/>
      <c r="Q97" s="891"/>
      <c r="R97" s="892"/>
      <c r="S97" s="894"/>
      <c r="T97" s="905"/>
      <c r="U97" s="336"/>
      <c r="W97" s="335"/>
      <c r="X97" s="335"/>
      <c r="Y97" s="335"/>
      <c r="Z97" s="34"/>
      <c r="AA97" s="34"/>
      <c r="AB97" s="957"/>
      <c r="AC97" s="958"/>
      <c r="AD97" s="958"/>
      <c r="AE97" s="958"/>
      <c r="AF97" s="958"/>
      <c r="AG97" s="959"/>
      <c r="AH97" s="342"/>
    </row>
    <row r="98" spans="1:34" ht="10" customHeight="1" thickBot="1">
      <c r="A98" s="321"/>
      <c r="B98" s="34"/>
      <c r="F98" s="335"/>
      <c r="G98" s="321"/>
      <c r="H98" s="34"/>
      <c r="I98" s="335"/>
      <c r="J98" s="335"/>
      <c r="K98" s="335"/>
      <c r="L98" s="182"/>
      <c r="M98" s="34"/>
      <c r="N98" s="339"/>
      <c r="O98" s="923"/>
      <c r="P98" s="911" t="str">
        <f>IF($L99=$L101," ",IF($L99&gt;$L101,$I99,$I101))</f>
        <v>FG Elgg-Ettenhausen 1 ( NLA )</v>
      </c>
      <c r="Q98" s="912"/>
      <c r="R98" s="913"/>
      <c r="S98" s="894">
        <f>IF(Eigaben!$N$57=0,"",Eigaben!$N$57)</f>
        <v>5</v>
      </c>
      <c r="T98" s="895"/>
      <c r="U98" s="34"/>
      <c r="W98" s="335"/>
      <c r="X98" s="335"/>
      <c r="Y98" s="335"/>
      <c r="Z98" s="34"/>
      <c r="AA98" s="34"/>
      <c r="AB98" s="957"/>
      <c r="AC98" s="958"/>
      <c r="AD98" s="958"/>
      <c r="AE98" s="958"/>
      <c r="AF98" s="958"/>
      <c r="AG98" s="959"/>
      <c r="AH98" s="342"/>
    </row>
    <row r="99" spans="1:34" ht="8.15" customHeight="1" thickBot="1">
      <c r="A99" s="962"/>
      <c r="B99" s="884"/>
      <c r="F99" s="963"/>
      <c r="G99" s="962">
        <v>16</v>
      </c>
      <c r="H99" s="947">
        <v>13</v>
      </c>
      <c r="I99" s="898" t="str">
        <f>IF(H99=0," ",VLOOKUP($H99,Eigaben!$Y$17:$Z$94,2,1))</f>
        <v xml:space="preserve"> </v>
      </c>
      <c r="J99" s="899"/>
      <c r="K99" s="900"/>
      <c r="L99" s="893">
        <f>IF(Eigaben!L43=0,"",Eigaben!L43)</f>
        <v>1</v>
      </c>
      <c r="M99" s="904"/>
      <c r="N99" s="336"/>
      <c r="O99" s="923"/>
      <c r="P99" s="914"/>
      <c r="Q99" s="915"/>
      <c r="R99" s="916"/>
      <c r="S99" s="922"/>
      <c r="T99" s="896"/>
      <c r="U99" s="34"/>
      <c r="W99" s="335"/>
      <c r="X99" s="335"/>
      <c r="Y99" s="335"/>
      <c r="Z99" s="34"/>
      <c r="AA99" s="34"/>
      <c r="AB99" s="1054" t="str">
        <f>IF(AG53=AG56," ",IF(AG53&gt;AG56,AB53,AB56))</f>
        <v xml:space="preserve"> </v>
      </c>
      <c r="AC99" s="1055"/>
      <c r="AD99" s="1055"/>
      <c r="AE99" s="1055"/>
      <c r="AF99" s="1055"/>
      <c r="AG99" s="1056"/>
      <c r="AH99" s="345"/>
    </row>
    <row r="100" spans="1:34" ht="8.15" customHeight="1" thickBot="1">
      <c r="A100" s="962"/>
      <c r="B100" s="884"/>
      <c r="C100" s="335"/>
      <c r="D100" s="335"/>
      <c r="E100" s="319"/>
      <c r="F100" s="963"/>
      <c r="G100" s="962"/>
      <c r="H100" s="947"/>
      <c r="I100" s="901"/>
      <c r="J100" s="902"/>
      <c r="K100" s="903"/>
      <c r="L100" s="894"/>
      <c r="M100" s="905"/>
      <c r="N100" s="336"/>
      <c r="P100" s="34"/>
      <c r="Q100" s="34"/>
      <c r="R100" s="34"/>
      <c r="T100" s="34"/>
      <c r="U100" s="34"/>
      <c r="W100" s="335"/>
      <c r="X100" s="335"/>
      <c r="Y100" s="335"/>
      <c r="Z100" s="34"/>
      <c r="AA100" s="34"/>
      <c r="AB100" s="1054"/>
      <c r="AC100" s="1055"/>
      <c r="AD100" s="1055"/>
      <c r="AE100" s="1055"/>
      <c r="AF100" s="1055"/>
      <c r="AG100" s="1056"/>
      <c r="AH100" s="345"/>
    </row>
    <row r="101" spans="1:34" ht="8.15" customHeight="1">
      <c r="A101" s="962"/>
      <c r="B101" s="884"/>
      <c r="C101" s="330"/>
      <c r="D101" s="330"/>
      <c r="F101" s="884"/>
      <c r="G101" s="962"/>
      <c r="H101" s="947">
        <f>Eigaben!G43</f>
        <v>66</v>
      </c>
      <c r="I101" s="901" t="str">
        <f>IF(H101=0," ",VLOOKUP($H101,Eigaben!$Y$17:$Z$94,2,1))</f>
        <v>FG Elgg-Ettenhausen 1 ( NLA )</v>
      </c>
      <c r="J101" s="902"/>
      <c r="K101" s="903"/>
      <c r="L101" s="894">
        <f>IF(Eigaben!N43=0,"",Eigaben!N43)</f>
        <v>5</v>
      </c>
      <c r="M101" s="895"/>
      <c r="N101" s="34"/>
      <c r="P101" s="34"/>
      <c r="Q101" s="34"/>
      <c r="R101" s="34"/>
      <c r="T101" s="34"/>
      <c r="U101" s="34"/>
      <c r="W101" s="335"/>
      <c r="X101" s="335"/>
      <c r="Y101" s="335"/>
      <c r="Z101" s="34"/>
      <c r="AA101" s="34"/>
      <c r="AB101" s="1054"/>
      <c r="AC101" s="1055"/>
      <c r="AD101" s="1055"/>
      <c r="AE101" s="1055"/>
      <c r="AF101" s="1055"/>
      <c r="AG101" s="1056"/>
      <c r="AH101" s="345"/>
    </row>
    <row r="102" spans="1:34" ht="8.15" customHeight="1" thickBot="1">
      <c r="A102" s="962"/>
      <c r="B102" s="884"/>
      <c r="C102" s="330"/>
      <c r="D102" s="330"/>
      <c r="F102" s="884"/>
      <c r="G102" s="962"/>
      <c r="H102" s="947"/>
      <c r="I102" s="919"/>
      <c r="J102" s="920"/>
      <c r="K102" s="921"/>
      <c r="L102" s="922"/>
      <c r="M102" s="896"/>
      <c r="N102" s="34"/>
      <c r="P102" s="964"/>
      <c r="Q102" s="346"/>
      <c r="R102" s="346"/>
      <c r="T102" s="34"/>
      <c r="U102" s="34"/>
      <c r="W102" s="335"/>
      <c r="X102" s="335"/>
      <c r="Y102" s="335"/>
      <c r="Z102" s="34"/>
      <c r="AA102" s="34"/>
      <c r="AB102" s="1057"/>
      <c r="AC102" s="1058"/>
      <c r="AD102" s="1058"/>
      <c r="AE102" s="1058"/>
      <c r="AF102" s="1058"/>
      <c r="AG102" s="1059"/>
      <c r="AH102" s="345"/>
    </row>
    <row r="103" spans="1:34" ht="8.15" customHeight="1">
      <c r="A103" s="321"/>
      <c r="B103" s="20"/>
      <c r="C103" s="20"/>
      <c r="D103" s="20"/>
      <c r="E103" s="20"/>
      <c r="H103" s="20"/>
      <c r="I103" s="20"/>
      <c r="J103" s="20"/>
      <c r="K103" s="20"/>
      <c r="M103" s="20"/>
      <c r="N103" s="20"/>
      <c r="P103" s="965"/>
      <c r="Q103" s="347"/>
      <c r="R103" s="347"/>
      <c r="T103" s="20"/>
      <c r="U103" s="20"/>
      <c r="W103" s="319"/>
      <c r="X103" s="319"/>
      <c r="Y103" s="319"/>
      <c r="Z103" s="20"/>
      <c r="AA103" s="20"/>
      <c r="AB103" s="20"/>
      <c r="AD103" s="20"/>
      <c r="AE103" s="20"/>
      <c r="AF103" s="20"/>
      <c r="AG103" s="20"/>
      <c r="AH103" s="20"/>
    </row>
    <row r="104" spans="1:34" ht="8.15" customHeight="1">
      <c r="A104" s="321"/>
      <c r="B104" s="20"/>
      <c r="C104" s="20"/>
      <c r="D104" s="20"/>
      <c r="E104" s="20"/>
      <c r="H104" s="20"/>
      <c r="I104" s="20"/>
      <c r="J104" s="20"/>
      <c r="K104" s="20"/>
      <c r="M104" s="20"/>
      <c r="N104" s="20"/>
      <c r="P104" s="20"/>
      <c r="Q104" s="20"/>
      <c r="R104" s="20"/>
      <c r="T104" s="20"/>
      <c r="U104" s="20"/>
      <c r="W104" s="319"/>
      <c r="X104" s="319"/>
      <c r="Y104" s="319"/>
      <c r="Z104" s="20"/>
      <c r="AA104" s="20"/>
      <c r="AB104" s="20"/>
      <c r="AD104" s="20"/>
      <c r="AE104" s="20"/>
      <c r="AF104" s="20"/>
      <c r="AG104" s="20"/>
      <c r="AH104" s="20"/>
    </row>
    <row r="105" spans="1:34" ht="8.15" customHeight="1">
      <c r="E105" s="960"/>
    </row>
    <row r="106" spans="1:34" ht="8.15" customHeight="1">
      <c r="E106" s="961"/>
    </row>
    <row r="107" spans="1:34" ht="8.15" customHeight="1"/>
    <row r="108" spans="1:34" ht="8.15" customHeight="1"/>
  </sheetData>
  <mergeCells count="371">
    <mergeCell ref="E105:E106"/>
    <mergeCell ref="L99:L100"/>
    <mergeCell ref="M99:M100"/>
    <mergeCell ref="AB99:AG102"/>
    <mergeCell ref="B101:B102"/>
    <mergeCell ref="F101:F102"/>
    <mergeCell ref="H101:H102"/>
    <mergeCell ref="I101:K102"/>
    <mergeCell ref="L101:L102"/>
    <mergeCell ref="M101:M102"/>
    <mergeCell ref="P102:P103"/>
    <mergeCell ref="A99:A102"/>
    <mergeCell ref="B99:B100"/>
    <mergeCell ref="F99:F100"/>
    <mergeCell ref="G99:G102"/>
    <mergeCell ref="H99:H100"/>
    <mergeCell ref="I99:K100"/>
    <mergeCell ref="B95:B96"/>
    <mergeCell ref="H95:H96"/>
    <mergeCell ref="I95:K96"/>
    <mergeCell ref="A93:A96"/>
    <mergeCell ref="B93:B94"/>
    <mergeCell ref="AB95:AG98"/>
    <mergeCell ref="C96:E97"/>
    <mergeCell ref="O96:O99"/>
    <mergeCell ref="P96:R97"/>
    <mergeCell ref="S96:S97"/>
    <mergeCell ref="C92:E93"/>
    <mergeCell ref="W92:Y93"/>
    <mergeCell ref="Z92:Z93"/>
    <mergeCell ref="AA92:AA93"/>
    <mergeCell ref="F93:F94"/>
    <mergeCell ref="G93:G96"/>
    <mergeCell ref="H93:H94"/>
    <mergeCell ref="I93:K94"/>
    <mergeCell ref="T96:T97"/>
    <mergeCell ref="P98:R99"/>
    <mergeCell ref="S98:S99"/>
    <mergeCell ref="T98:T99"/>
    <mergeCell ref="L95:L96"/>
    <mergeCell ref="M95:M96"/>
    <mergeCell ref="A87:A90"/>
    <mergeCell ref="B87:B88"/>
    <mergeCell ref="G87:G90"/>
    <mergeCell ref="H87:H88"/>
    <mergeCell ref="I87:K88"/>
    <mergeCell ref="L87:L88"/>
    <mergeCell ref="B89:B90"/>
    <mergeCell ref="F89:F90"/>
    <mergeCell ref="H89:H90"/>
    <mergeCell ref="I89:K90"/>
    <mergeCell ref="M87:M88"/>
    <mergeCell ref="L89:L90"/>
    <mergeCell ref="M89:M90"/>
    <mergeCell ref="V90:V93"/>
    <mergeCell ref="W90:Y91"/>
    <mergeCell ref="Z90:Z91"/>
    <mergeCell ref="AA90:AA91"/>
    <mergeCell ref="L93:L94"/>
    <mergeCell ref="M93:M94"/>
    <mergeCell ref="H81:H82"/>
    <mergeCell ref="I81:K82"/>
    <mergeCell ref="L81:L82"/>
    <mergeCell ref="M81:M82"/>
    <mergeCell ref="AG82:AG83"/>
    <mergeCell ref="B83:B84"/>
    <mergeCell ref="F83:F84"/>
    <mergeCell ref="H83:H84"/>
    <mergeCell ref="I83:K84"/>
    <mergeCell ref="L83:L84"/>
    <mergeCell ref="AC78:AC81"/>
    <mergeCell ref="AD78:AF79"/>
    <mergeCell ref="AG78:AG79"/>
    <mergeCell ref="AD80:AF81"/>
    <mergeCell ref="AG80:AG81"/>
    <mergeCell ref="M83:M84"/>
    <mergeCell ref="O84:O87"/>
    <mergeCell ref="P84:R85"/>
    <mergeCell ref="S84:S85"/>
    <mergeCell ref="T84:T85"/>
    <mergeCell ref="C86:F87"/>
    <mergeCell ref="P86:R87"/>
    <mergeCell ref="S86:S87"/>
    <mergeCell ref="T86:T87"/>
    <mergeCell ref="A81:A84"/>
    <mergeCell ref="B81:B82"/>
    <mergeCell ref="C81:E82"/>
    <mergeCell ref="F81:F82"/>
    <mergeCell ref="G81:G84"/>
    <mergeCell ref="I75:K76"/>
    <mergeCell ref="L75:L76"/>
    <mergeCell ref="M75:M76"/>
    <mergeCell ref="AG76:AG77"/>
    <mergeCell ref="B77:B78"/>
    <mergeCell ref="F77:F78"/>
    <mergeCell ref="H77:H78"/>
    <mergeCell ref="I77:K78"/>
    <mergeCell ref="L77:L78"/>
    <mergeCell ref="M77:M78"/>
    <mergeCell ref="A75:A78"/>
    <mergeCell ref="B75:B76"/>
    <mergeCell ref="C75:E79"/>
    <mergeCell ref="F75:F76"/>
    <mergeCell ref="G75:G78"/>
    <mergeCell ref="H75:H76"/>
    <mergeCell ref="O72:O75"/>
    <mergeCell ref="P72:R73"/>
    <mergeCell ref="S72:S73"/>
    <mergeCell ref="P74:R75"/>
    <mergeCell ref="S74:S75"/>
    <mergeCell ref="T74:T75"/>
    <mergeCell ref="I69:K70"/>
    <mergeCell ref="L69:L70"/>
    <mergeCell ref="B71:B72"/>
    <mergeCell ref="E71:E72"/>
    <mergeCell ref="F71:F72"/>
    <mergeCell ref="H71:H72"/>
    <mergeCell ref="I71:K72"/>
    <mergeCell ref="L71:L72"/>
    <mergeCell ref="A69:A72"/>
    <mergeCell ref="B69:B70"/>
    <mergeCell ref="E69:E70"/>
    <mergeCell ref="F69:F70"/>
    <mergeCell ref="G69:G72"/>
    <mergeCell ref="H69:H70"/>
    <mergeCell ref="V66:V69"/>
    <mergeCell ref="W66:Y67"/>
    <mergeCell ref="Z66:Z67"/>
    <mergeCell ref="A63:A66"/>
    <mergeCell ref="S62:S63"/>
    <mergeCell ref="T62:T63"/>
    <mergeCell ref="T72:T73"/>
    <mergeCell ref="AA66:AA67"/>
    <mergeCell ref="W68:Y69"/>
    <mergeCell ref="Z68:Z69"/>
    <mergeCell ref="AA68:AA69"/>
    <mergeCell ref="I63:K64"/>
    <mergeCell ref="L63:L64"/>
    <mergeCell ref="M63:M64"/>
    <mergeCell ref="B65:B66"/>
    <mergeCell ref="C65:E66"/>
    <mergeCell ref="F65:F66"/>
    <mergeCell ref="H65:H66"/>
    <mergeCell ref="I65:K66"/>
    <mergeCell ref="L65:L66"/>
    <mergeCell ref="M65:M66"/>
    <mergeCell ref="B63:B64"/>
    <mergeCell ref="C63:E64"/>
    <mergeCell ref="F63:F64"/>
    <mergeCell ref="G63:G66"/>
    <mergeCell ref="H63:H64"/>
    <mergeCell ref="O60:O63"/>
    <mergeCell ref="P60:R61"/>
    <mergeCell ref="S60:S61"/>
    <mergeCell ref="T60:T61"/>
    <mergeCell ref="P62:R63"/>
    <mergeCell ref="A57:A60"/>
    <mergeCell ref="B57:B58"/>
    <mergeCell ref="C57:E58"/>
    <mergeCell ref="F57:F58"/>
    <mergeCell ref="G57:G60"/>
    <mergeCell ref="H57:H58"/>
    <mergeCell ref="M53:M54"/>
    <mergeCell ref="AB53:AF55"/>
    <mergeCell ref="AG53:AG55"/>
    <mergeCell ref="I57:K58"/>
    <mergeCell ref="L57:L58"/>
    <mergeCell ref="M57:M58"/>
    <mergeCell ref="B59:B60"/>
    <mergeCell ref="C59:E60"/>
    <mergeCell ref="F59:F60"/>
    <mergeCell ref="H59:H60"/>
    <mergeCell ref="I59:K60"/>
    <mergeCell ref="L59:L60"/>
    <mergeCell ref="M59:M60"/>
    <mergeCell ref="AH53:AH55"/>
    <mergeCell ref="AB56:AF58"/>
    <mergeCell ref="AG56:AG58"/>
    <mergeCell ref="B53:B54"/>
    <mergeCell ref="C53:E54"/>
    <mergeCell ref="F53:F54"/>
    <mergeCell ref="H53:H54"/>
    <mergeCell ref="I53:K54"/>
    <mergeCell ref="L53:L54"/>
    <mergeCell ref="AB50:AG52"/>
    <mergeCell ref="A51:A54"/>
    <mergeCell ref="B51:B52"/>
    <mergeCell ref="C51:E52"/>
    <mergeCell ref="F51:F52"/>
    <mergeCell ref="G51:G54"/>
    <mergeCell ref="H51:H52"/>
    <mergeCell ref="I51:K52"/>
    <mergeCell ref="L51:L52"/>
    <mergeCell ref="M51:M52"/>
    <mergeCell ref="AB46:AG49"/>
    <mergeCell ref="B47:B48"/>
    <mergeCell ref="C47:E48"/>
    <mergeCell ref="F47:F48"/>
    <mergeCell ref="H47:H48"/>
    <mergeCell ref="I47:K48"/>
    <mergeCell ref="L47:L48"/>
    <mergeCell ref="A45:A48"/>
    <mergeCell ref="B45:B46"/>
    <mergeCell ref="C45:E46"/>
    <mergeCell ref="F45:F46"/>
    <mergeCell ref="G45:G48"/>
    <mergeCell ref="H45:H46"/>
    <mergeCell ref="M47:M48"/>
    <mergeCell ref="O48:O51"/>
    <mergeCell ref="P48:R49"/>
    <mergeCell ref="S48:S49"/>
    <mergeCell ref="T48:T49"/>
    <mergeCell ref="P50:R51"/>
    <mergeCell ref="S50:S51"/>
    <mergeCell ref="T50:T51"/>
    <mergeCell ref="I45:K46"/>
    <mergeCell ref="L45:L46"/>
    <mergeCell ref="M45:M46"/>
    <mergeCell ref="AF39:AG40"/>
    <mergeCell ref="B40:B41"/>
    <mergeCell ref="C40:E41"/>
    <mergeCell ref="F40:F41"/>
    <mergeCell ref="H40:H41"/>
    <mergeCell ref="I40:K41"/>
    <mergeCell ref="L40:L41"/>
    <mergeCell ref="M40:M41"/>
    <mergeCell ref="V41:V45"/>
    <mergeCell ref="AC41:AD43"/>
    <mergeCell ref="AF41:AG43"/>
    <mergeCell ref="W42:Y43"/>
    <mergeCell ref="Z42:Z43"/>
    <mergeCell ref="AA42:AA43"/>
    <mergeCell ref="W44:Y45"/>
    <mergeCell ref="Z44:Z45"/>
    <mergeCell ref="AA44:AA45"/>
    <mergeCell ref="A38:A41"/>
    <mergeCell ref="B38:B39"/>
    <mergeCell ref="C38:E39"/>
    <mergeCell ref="F38:F39"/>
    <mergeCell ref="G38:G41"/>
    <mergeCell ref="H38:H39"/>
    <mergeCell ref="M34:M35"/>
    <mergeCell ref="O35:O38"/>
    <mergeCell ref="P35:R36"/>
    <mergeCell ref="B34:B35"/>
    <mergeCell ref="C34:E35"/>
    <mergeCell ref="F34:F35"/>
    <mergeCell ref="H34:H35"/>
    <mergeCell ref="A32:A35"/>
    <mergeCell ref="B32:B33"/>
    <mergeCell ref="C32:E33"/>
    <mergeCell ref="F32:F33"/>
    <mergeCell ref="G32:G35"/>
    <mergeCell ref="H32:H33"/>
    <mergeCell ref="I38:K39"/>
    <mergeCell ref="L38:L39"/>
    <mergeCell ref="M38:M39"/>
    <mergeCell ref="S35:S36"/>
    <mergeCell ref="T35:T36"/>
    <mergeCell ref="P37:R38"/>
    <mergeCell ref="S37:S38"/>
    <mergeCell ref="T37:T38"/>
    <mergeCell ref="I32:K33"/>
    <mergeCell ref="L32:L33"/>
    <mergeCell ref="M32:M33"/>
    <mergeCell ref="AG33:AG34"/>
    <mergeCell ref="I34:K35"/>
    <mergeCell ref="L34:L35"/>
    <mergeCell ref="M28:M29"/>
    <mergeCell ref="AC29:AC32"/>
    <mergeCell ref="AD29:AF30"/>
    <mergeCell ref="AG29:AG30"/>
    <mergeCell ref="AD31:AF32"/>
    <mergeCell ref="AG31:AG32"/>
    <mergeCell ref="I26:K27"/>
    <mergeCell ref="L26:L27"/>
    <mergeCell ref="M26:M27"/>
    <mergeCell ref="AG27:AG28"/>
    <mergeCell ref="O23:O26"/>
    <mergeCell ref="P23:R24"/>
    <mergeCell ref="S23:S24"/>
    <mergeCell ref="T23:T24"/>
    <mergeCell ref="P25:R26"/>
    <mergeCell ref="S25:S26"/>
    <mergeCell ref="T25:T26"/>
    <mergeCell ref="B28:B29"/>
    <mergeCell ref="C28:E29"/>
    <mergeCell ref="F28:F29"/>
    <mergeCell ref="H28:H29"/>
    <mergeCell ref="I28:K29"/>
    <mergeCell ref="L28:L29"/>
    <mergeCell ref="A26:A29"/>
    <mergeCell ref="B26:B27"/>
    <mergeCell ref="C26:E27"/>
    <mergeCell ref="F26:F27"/>
    <mergeCell ref="G26:G29"/>
    <mergeCell ref="H26:H27"/>
    <mergeCell ref="A20:A23"/>
    <mergeCell ref="B20:B21"/>
    <mergeCell ref="C20:E21"/>
    <mergeCell ref="F20:F21"/>
    <mergeCell ref="G20:G23"/>
    <mergeCell ref="H20:H21"/>
    <mergeCell ref="V17:V20"/>
    <mergeCell ref="W17:Y18"/>
    <mergeCell ref="Z17:Z18"/>
    <mergeCell ref="A14:A17"/>
    <mergeCell ref="S13:S14"/>
    <mergeCell ref="T13:T14"/>
    <mergeCell ref="I20:K21"/>
    <mergeCell ref="L20:L21"/>
    <mergeCell ref="M20:M21"/>
    <mergeCell ref="B22:B23"/>
    <mergeCell ref="C22:E23"/>
    <mergeCell ref="F22:F23"/>
    <mergeCell ref="H22:H23"/>
    <mergeCell ref="I22:K23"/>
    <mergeCell ref="L22:L23"/>
    <mergeCell ref="M22:M23"/>
    <mergeCell ref="B16:B17"/>
    <mergeCell ref="C16:E17"/>
    <mergeCell ref="F16:F17"/>
    <mergeCell ref="H16:H17"/>
    <mergeCell ref="I16:K17"/>
    <mergeCell ref="L16:L17"/>
    <mergeCell ref="M16:M17"/>
    <mergeCell ref="B14:B15"/>
    <mergeCell ref="C14:E15"/>
    <mergeCell ref="F14:F15"/>
    <mergeCell ref="G14:G17"/>
    <mergeCell ref="H14:H15"/>
    <mergeCell ref="L10:L11"/>
    <mergeCell ref="M10:M11"/>
    <mergeCell ref="AF4:AG4"/>
    <mergeCell ref="I6:K6"/>
    <mergeCell ref="AA17:AA18"/>
    <mergeCell ref="W19:Y20"/>
    <mergeCell ref="Z19:Z20"/>
    <mergeCell ref="AA19:AA20"/>
    <mergeCell ref="I14:K15"/>
    <mergeCell ref="L14:L15"/>
    <mergeCell ref="M14:M15"/>
    <mergeCell ref="O11:O14"/>
    <mergeCell ref="P11:R12"/>
    <mergeCell ref="S11:S12"/>
    <mergeCell ref="T11:T12"/>
    <mergeCell ref="P13:R14"/>
    <mergeCell ref="A8:A11"/>
    <mergeCell ref="B8:B9"/>
    <mergeCell ref="C8:E9"/>
    <mergeCell ref="F8:F9"/>
    <mergeCell ref="G8:G11"/>
    <mergeCell ref="H8:H9"/>
    <mergeCell ref="I8:K9"/>
    <mergeCell ref="L8:L9"/>
    <mergeCell ref="A1:AD1"/>
    <mergeCell ref="B4:C4"/>
    <mergeCell ref="E4:F4"/>
    <mergeCell ref="G4:I4"/>
    <mergeCell ref="K4:L4"/>
    <mergeCell ref="O4:P4"/>
    <mergeCell ref="R4:S4"/>
    <mergeCell ref="V4:W4"/>
    <mergeCell ref="Y4:Z4"/>
    <mergeCell ref="AC4:AD4"/>
    <mergeCell ref="M8:M9"/>
    <mergeCell ref="B10:B11"/>
    <mergeCell ref="C10:E11"/>
    <mergeCell ref="F10:F11"/>
    <mergeCell ref="H10:H11"/>
    <mergeCell ref="I10:K11"/>
  </mergeCells>
  <printOptions horizontalCentered="1" verticalCentered="1"/>
  <pageMargins left="0.19685039370078741" right="0.15748031496062992" top="0.19685039370078741" bottom="0.27559055118110237" header="7.874015748031496E-2" footer="0.19685039370078741"/>
  <pageSetup paperSize="9" scale="60" orientation="landscape" r:id="rId1"/>
  <headerFooter alignWithMargins="0">
    <oddFooter>&amp;L&amp;8Schweizer-Cup-2020&amp;C&amp;8www.swissfaustball.ch&amp;R&amp;8Februar 2020</oddFooter>
  </headerFooter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28'!A5</f>
        <v>1/4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28'!A15</f>
        <v>45897</v>
      </c>
      <c r="F6" s="1343"/>
      <c r="G6" s="1343"/>
      <c r="H6" s="1343"/>
      <c r="I6" s="1343"/>
      <c r="J6" s="1320" t="s">
        <v>324</v>
      </c>
      <c r="K6" s="1320"/>
      <c r="L6" s="1321">
        <f>'Aufgebot 28'!G15</f>
        <v>0.78819444444444442</v>
      </c>
      <c r="M6" s="1321"/>
      <c r="N6" s="1321"/>
      <c r="O6" s="1320" t="s">
        <v>323</v>
      </c>
      <c r="P6" s="1320"/>
      <c r="Q6" s="1320"/>
      <c r="R6" s="1320"/>
      <c r="S6" s="1433" t="str">
        <f>'Aufgebot 28'!L15</f>
        <v>Rickenbach</v>
      </c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348" t="s">
        <v>106</v>
      </c>
      <c r="AE6" s="1348"/>
      <c r="AF6" s="1348"/>
      <c r="AG6" s="1348"/>
      <c r="AH6" s="1320">
        <f>'Aufgebot 28'!Y5</f>
        <v>28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28'!A8</f>
        <v>FG Rickenbach-Wilen ( NLA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28'!O8</f>
        <v>FG Elgg-Ettenhausen 1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28'!A19&amp;" "&amp;'Aufgebot 28'!G19</f>
        <v>Reto Mähr +41 79 452 77 62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28'!A9</f>
        <v>Jonas Hess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28'!$G$34&gt;0,1,"")</f>
        <v/>
      </c>
      <c r="H30" s="249" t="str">
        <f>IF('Aufgebot 28'!$G$34&gt;0,2,"")</f>
        <v/>
      </c>
      <c r="I30" s="249" t="str">
        <f>IF('Aufgebot 28'!$G$34=3,3,"")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G30</f>
        <v/>
      </c>
      <c r="H32" s="249" t="str">
        <f>H30</f>
        <v/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G32</f>
        <v/>
      </c>
      <c r="H34" s="249" t="str">
        <f>H32</f>
        <v/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G34</f>
        <v/>
      </c>
      <c r="H36" s="249" t="str">
        <f>H34</f>
        <v/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G36</f>
        <v/>
      </c>
      <c r="H39" s="249" t="str">
        <f>H36</f>
        <v/>
      </c>
      <c r="I39" s="249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G39</f>
        <v/>
      </c>
      <c r="H41" s="249" t="str">
        <f>H39</f>
        <v/>
      </c>
      <c r="I41" s="249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G41</f>
        <v/>
      </c>
      <c r="H43" s="249" t="str">
        <f>H41</f>
        <v/>
      </c>
      <c r="I43" s="249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G43</f>
        <v/>
      </c>
      <c r="H45" s="249" t="str">
        <f>H43</f>
        <v/>
      </c>
      <c r="I45" s="249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G45</f>
        <v/>
      </c>
      <c r="H48" s="249" t="str">
        <f>H45</f>
        <v/>
      </c>
      <c r="I48" s="249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5</v>
      </c>
      <c r="D2" s="503" t="str">
        <f>VLOOKUP(A2,Eigaben!Y8:AC14,5,0)</f>
        <v>1/2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1/2 Final</v>
      </c>
      <c r="B5" s="1370"/>
      <c r="C5" s="1370"/>
      <c r="D5" s="1370"/>
      <c r="E5" s="1371"/>
      <c r="F5" s="1211">
        <f>VLOOKUP($A$2,Eigaben!$Y$8:$AC$14,2,1)</f>
        <v>45887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45905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28'!Y5+1</f>
        <v>29</v>
      </c>
      <c r="Z5" s="394"/>
      <c r="AA5" s="396"/>
      <c r="AC5" s="156"/>
      <c r="AD5" s="265"/>
      <c r="AE5" s="172"/>
    </row>
    <row r="6" spans="1:33" ht="9" customHeight="1" thickBot="1">
      <c r="A6" s="506">
        <f>Eigaben!F73</f>
        <v>65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Eigaben!G73</f>
        <v>64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SVD Diepoldsau-Schmitter (NLA)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Affeltrangen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Lorena Lipp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Ribi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Unterdorfstr 47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9443 Widnau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2b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8507 Hörhausen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076 573 09 99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079 585 70 85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spiko@faustball-svd.clubdesk.com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 xml:space="preserve">faustball@stv-affeltrangen.ch 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Eigaben!C73</f>
        <v>29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>
        <f>IF(Eigaben!C73=0,"",VLOOKUP(C13,Eigaben!$C$28:$V$109,13,0))</f>
        <v>45897</v>
      </c>
      <c r="B15" s="1199"/>
      <c r="C15" s="1199"/>
      <c r="D15" s="1199"/>
      <c r="E15" s="1199"/>
      <c r="F15" s="1199"/>
      <c r="G15" s="1194">
        <f>IF(Eigaben!C73=0,"",VLOOKUP(C13,Eigaben!$C$28:$V$110,14,0))</f>
        <v>0.79166666666666663</v>
      </c>
      <c r="H15" s="1194"/>
      <c r="I15" s="1194"/>
      <c r="J15" s="1194"/>
      <c r="K15" s="1194"/>
      <c r="L15" s="1195" t="str">
        <f>IF(Eigaben!C73=0,"",VLOOKUP(C13,Eigaben!$C$28:$V$1110,15,0))</f>
        <v>Diepoldsau</v>
      </c>
      <c r="M15" s="1196"/>
      <c r="N15" s="1196"/>
      <c r="O15" s="1196"/>
      <c r="P15" s="1196"/>
      <c r="Q15" s="1196"/>
      <c r="R15" s="1196"/>
      <c r="S15" s="1197"/>
      <c r="T15" s="1195" t="str">
        <f>IF(Eigaben!C73=0,"",VLOOKUP(C13,Eigaben!$C$28:$V$110,16,0))</f>
        <v>Diepoldsau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Eigaben!T73</f>
        <v>13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Patrick Sieber</v>
      </c>
      <c r="B19" s="1362"/>
      <c r="C19" s="1362"/>
      <c r="D19" s="1362"/>
      <c r="E19" s="1362"/>
      <c r="F19" s="1363"/>
      <c r="G19" s="860" t="str">
        <f>IF(C16=0,"",VLOOKUP(C16,Schiri_25!A2:L181,9,1))</f>
        <v>+41 79 473 61 88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+41 79 473 61 88</v>
      </c>
      <c r="N19" s="1408"/>
      <c r="O19" s="1408"/>
      <c r="P19" s="1408"/>
      <c r="Q19" s="902"/>
      <c r="R19" s="1130" t="str">
        <f>IF(C16=0,"",VLOOKUP(C16,Schiri_25!A2:L181,12,1))</f>
        <v>sieber.patrick@rsnweb.ch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>
        <f>IF(G15="","",G15-"00:15:00")</f>
        <v>0.78125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Eigaben!V73</f>
        <v>5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Eigaben!S73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79" priority="20" stopIfTrue="1" operator="greaterThan">
      <formula>$C$41</formula>
    </cfRule>
  </conditionalFormatting>
  <conditionalFormatting sqref="C41">
    <cfRule type="cellIs" dxfId="78" priority="10" stopIfTrue="1" operator="greaterThan">
      <formula>$A$41</formula>
    </cfRule>
    <cfRule type="cellIs" dxfId="77" priority="11" stopIfTrue="1" operator="greaterThan">
      <formula>$A$41</formula>
    </cfRule>
  </conditionalFormatting>
  <conditionalFormatting sqref="D41">
    <cfRule type="cellIs" dxfId="76" priority="19" stopIfTrue="1" operator="greaterThan">
      <formula>$F$41</formula>
    </cfRule>
  </conditionalFormatting>
  <conditionalFormatting sqref="F41">
    <cfRule type="cellIs" dxfId="75" priority="9" stopIfTrue="1" operator="greaterThan">
      <formula>$D$41</formula>
    </cfRule>
  </conditionalFormatting>
  <conditionalFormatting sqref="G41">
    <cfRule type="cellIs" dxfId="74" priority="18" stopIfTrue="1" operator="greaterThan">
      <formula>$I$41</formula>
    </cfRule>
  </conditionalFormatting>
  <conditionalFormatting sqref="I41">
    <cfRule type="cellIs" dxfId="73" priority="8" stopIfTrue="1" operator="greaterThan">
      <formula>$G$41</formula>
    </cfRule>
  </conditionalFormatting>
  <conditionalFormatting sqref="J41">
    <cfRule type="cellIs" dxfId="72" priority="17" stopIfTrue="1" operator="greaterThan">
      <formula>$L$41</formula>
    </cfRule>
  </conditionalFormatting>
  <conditionalFormatting sqref="L41">
    <cfRule type="cellIs" dxfId="71" priority="7" stopIfTrue="1" operator="greaterThan">
      <formula>$J$41</formula>
    </cfRule>
  </conditionalFormatting>
  <conditionalFormatting sqref="M41">
    <cfRule type="cellIs" dxfId="70" priority="16" stopIfTrue="1" operator="greaterThan">
      <formula>$O$41</formula>
    </cfRule>
  </conditionalFormatting>
  <conditionalFormatting sqref="O41">
    <cfRule type="cellIs" dxfId="69" priority="6" stopIfTrue="1" operator="greaterThan">
      <formula>$M$41</formula>
    </cfRule>
  </conditionalFormatting>
  <conditionalFormatting sqref="P41">
    <cfRule type="cellIs" dxfId="68" priority="15" stopIfTrue="1" operator="greaterThan">
      <formula>$R$41</formula>
    </cfRule>
  </conditionalFormatting>
  <conditionalFormatting sqref="R41">
    <cfRule type="cellIs" dxfId="67" priority="5" stopIfTrue="1" operator="greaterThan">
      <formula>$P$41</formula>
    </cfRule>
  </conditionalFormatting>
  <conditionalFormatting sqref="S41">
    <cfRule type="cellIs" dxfId="66" priority="14" stopIfTrue="1" operator="greaterThan">
      <formula>$U$41</formula>
    </cfRule>
  </conditionalFormatting>
  <conditionalFormatting sqref="U41">
    <cfRule type="cellIs" dxfId="65" priority="1" stopIfTrue="1" operator="greaterThan">
      <formula>$S$41</formula>
    </cfRule>
    <cfRule type="cellIs" dxfId="64" priority="4" stopIfTrue="1" operator="greaterThan">
      <formula>$U$41</formula>
    </cfRule>
  </conditionalFormatting>
  <conditionalFormatting sqref="V41">
    <cfRule type="cellIs" dxfId="63" priority="13" stopIfTrue="1" operator="greaterThan">
      <formula>$X$41</formula>
    </cfRule>
  </conditionalFormatting>
  <conditionalFormatting sqref="X41">
    <cfRule type="cellIs" dxfId="62" priority="3" stopIfTrue="1" operator="greaterThan">
      <formula>$V$41</formula>
    </cfRule>
  </conditionalFormatting>
  <conditionalFormatting sqref="Y41">
    <cfRule type="cellIs" dxfId="61" priority="12" stopIfTrue="1" operator="greaterThan">
      <formula>$AA$41</formula>
    </cfRule>
  </conditionalFormatting>
  <conditionalFormatting sqref="AA41">
    <cfRule type="cellIs" dxfId="60" priority="2" stopIfTrue="1" operator="greaterThan">
      <formula>$Y$41</formula>
    </cfRule>
  </conditionalFormatting>
  <hyperlinks>
    <hyperlink ref="R45" r:id="rId1" display="pabst@swissfaustball.ch" xr:uid="{00000000-0004-0000-45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8AAD-F6DF-48C7-8BBA-BC3ECE81C343}">
  <dimension ref="A1:AQ54"/>
  <sheetViews>
    <sheetView workbookViewId="0">
      <selection activeCell="A15" sqref="A15:F15"/>
    </sheetView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5</v>
      </c>
      <c r="D2" s="503" t="str">
        <f>VLOOKUP(A2,Eigaben!Y8:AC14,5,0)</f>
        <v>1/2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1/2 Final</v>
      </c>
      <c r="B5" s="1370"/>
      <c r="C5" s="1370"/>
      <c r="D5" s="1370"/>
      <c r="E5" s="1371"/>
      <c r="F5" s="1211">
        <f>VLOOKUP($A$2,Eigaben!$Y$8:$AC$14,2,1)</f>
        <v>45887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45905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28'!Y5+1</f>
        <v>29</v>
      </c>
      <c r="Z5" s="394"/>
      <c r="AA5" s="396"/>
      <c r="AC5" s="156"/>
      <c r="AD5" s="265"/>
      <c r="AE5" s="172"/>
    </row>
    <row r="6" spans="1:33" ht="9" customHeight="1" thickBot="1">
      <c r="A6" s="506">
        <f>Eigaben!F73</f>
        <v>65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Eigaben!G73</f>
        <v>64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SVD Diepoldsau-Schmitter (NLA)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STV Affeltrangen 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Lorena Lipp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Andreas Ribi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Unterdorfstr 47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9443 Widnau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Unterdorfstr 2b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8507 Hörhausen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076 573 09 99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079 585 70 85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spiko@faustball-svd.clubdesk.com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 xml:space="preserve">faustball@stv-affeltrangen.ch 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e">
        <f>IF(Eigaben!C73=0,"",VLOOKUP(C13,Eigaben!$C$28:$V$109,13,0))</f>
        <v>#N/A</v>
      </c>
      <c r="B15" s="1199"/>
      <c r="C15" s="1199"/>
      <c r="D15" s="1199"/>
      <c r="E15" s="1199"/>
      <c r="F15" s="1199"/>
      <c r="G15" s="1194" t="e">
        <f>IF(Eigaben!C73=0,"",VLOOKUP(C13,Eigaben!$C$28:$V$110,14,0))</f>
        <v>#N/A</v>
      </c>
      <c r="H15" s="1194"/>
      <c r="I15" s="1194"/>
      <c r="J15" s="1194"/>
      <c r="K15" s="1194"/>
      <c r="L15" s="1195" t="e">
        <f>IF(Eigaben!C73=0,"",VLOOKUP(C13,Eigaben!$C$28:$V$1110,15,0))</f>
        <v>#N/A</v>
      </c>
      <c r="M15" s="1196"/>
      <c r="N15" s="1196"/>
      <c r="O15" s="1196"/>
      <c r="P15" s="1196"/>
      <c r="Q15" s="1196"/>
      <c r="R15" s="1196"/>
      <c r="S15" s="1197"/>
      <c r="T15" s="1195" t="e">
        <f>IF(Eigaben!C73=0,"",VLOOKUP(C13,Eigaben!$C$28:$V$110,16,0))</f>
        <v>#N/A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Eigaben!T73</f>
        <v>13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>Patrick Sieber</v>
      </c>
      <c r="B19" s="1362"/>
      <c r="C19" s="1362"/>
      <c r="D19" s="1362"/>
      <c r="E19" s="1362"/>
      <c r="F19" s="1363"/>
      <c r="G19" s="860" t="str">
        <f>IF(C16=0,"",VLOOKUP(C16,Schiri_25!A2:L181,9,1))</f>
        <v>+41 79 473 61 88</v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>+41 79 473 61 88</v>
      </c>
      <c r="N19" s="1408"/>
      <c r="O19" s="1408"/>
      <c r="P19" s="1408"/>
      <c r="Q19" s="902"/>
      <c r="R19" s="1130" t="str">
        <f>IF(C16=0,"",VLOOKUP(C16,Schiri_25!A2:L181,12,1))</f>
        <v>sieber.patrick@rsnweb.ch</v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Eigaben!V73</f>
        <v>5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Eigaben!S73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A42:C42"/>
    <mergeCell ref="D42:U42"/>
    <mergeCell ref="V42:X42"/>
    <mergeCell ref="Y42:AA42"/>
    <mergeCell ref="C51:I51"/>
    <mergeCell ref="A44:AA44"/>
    <mergeCell ref="A45:I45"/>
    <mergeCell ref="J45:P45"/>
    <mergeCell ref="R45:Y45"/>
    <mergeCell ref="A48:T48"/>
    <mergeCell ref="U48:W48"/>
    <mergeCell ref="X48:AA48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36:F36"/>
    <mergeCell ref="G36:AA36"/>
    <mergeCell ref="AJ27:AM27"/>
    <mergeCell ref="A29:AA29"/>
    <mergeCell ref="A31:AA31"/>
    <mergeCell ref="A32:D32"/>
    <mergeCell ref="E32:O32"/>
    <mergeCell ref="P32:AA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59" priority="20" stopIfTrue="1" operator="greaterThan">
      <formula>$C$41</formula>
    </cfRule>
  </conditionalFormatting>
  <conditionalFormatting sqref="C41">
    <cfRule type="cellIs" dxfId="58" priority="10" stopIfTrue="1" operator="greaterThan">
      <formula>$A$41</formula>
    </cfRule>
    <cfRule type="cellIs" dxfId="57" priority="11" stopIfTrue="1" operator="greaterThan">
      <formula>$A$41</formula>
    </cfRule>
  </conditionalFormatting>
  <conditionalFormatting sqref="D41">
    <cfRule type="cellIs" dxfId="56" priority="19" stopIfTrue="1" operator="greaterThan">
      <formula>$F$41</formula>
    </cfRule>
  </conditionalFormatting>
  <conditionalFormatting sqref="F41">
    <cfRule type="cellIs" dxfId="55" priority="9" stopIfTrue="1" operator="greaterThan">
      <formula>$D$41</formula>
    </cfRule>
  </conditionalFormatting>
  <conditionalFormatting sqref="G41">
    <cfRule type="cellIs" dxfId="54" priority="18" stopIfTrue="1" operator="greaterThan">
      <formula>$I$41</formula>
    </cfRule>
  </conditionalFormatting>
  <conditionalFormatting sqref="I41">
    <cfRule type="cellIs" dxfId="53" priority="8" stopIfTrue="1" operator="greaterThan">
      <formula>$G$41</formula>
    </cfRule>
  </conditionalFormatting>
  <conditionalFormatting sqref="J41">
    <cfRule type="cellIs" dxfId="52" priority="17" stopIfTrue="1" operator="greaterThan">
      <formula>$L$41</formula>
    </cfRule>
  </conditionalFormatting>
  <conditionalFormatting sqref="L41">
    <cfRule type="cellIs" dxfId="51" priority="7" stopIfTrue="1" operator="greaterThan">
      <formula>$J$41</formula>
    </cfRule>
  </conditionalFormatting>
  <conditionalFormatting sqref="M41">
    <cfRule type="cellIs" dxfId="50" priority="16" stopIfTrue="1" operator="greaterThan">
      <formula>$O$41</formula>
    </cfRule>
  </conditionalFormatting>
  <conditionalFormatting sqref="O41">
    <cfRule type="cellIs" dxfId="49" priority="6" stopIfTrue="1" operator="greaterThan">
      <formula>$M$41</formula>
    </cfRule>
  </conditionalFormatting>
  <conditionalFormatting sqref="P41">
    <cfRule type="cellIs" dxfId="48" priority="15" stopIfTrue="1" operator="greaterThan">
      <formula>$R$41</formula>
    </cfRule>
  </conditionalFormatting>
  <conditionalFormatting sqref="R41">
    <cfRule type="cellIs" dxfId="47" priority="5" stopIfTrue="1" operator="greaterThan">
      <formula>$P$41</formula>
    </cfRule>
  </conditionalFormatting>
  <conditionalFormatting sqref="S41">
    <cfRule type="cellIs" dxfId="46" priority="14" stopIfTrue="1" operator="greaterThan">
      <formula>$U$41</formula>
    </cfRule>
  </conditionalFormatting>
  <conditionalFormatting sqref="U41">
    <cfRule type="cellIs" dxfId="45" priority="1" stopIfTrue="1" operator="greaterThan">
      <formula>$S$41</formula>
    </cfRule>
    <cfRule type="cellIs" dxfId="44" priority="4" stopIfTrue="1" operator="greaterThan">
      <formula>$U$41</formula>
    </cfRule>
  </conditionalFormatting>
  <conditionalFormatting sqref="V41">
    <cfRule type="cellIs" dxfId="43" priority="13" stopIfTrue="1" operator="greaterThan">
      <formula>$X$41</formula>
    </cfRule>
  </conditionalFormatting>
  <conditionalFormatting sqref="X41">
    <cfRule type="cellIs" dxfId="42" priority="3" stopIfTrue="1" operator="greaterThan">
      <formula>$V$41</formula>
    </cfRule>
  </conditionalFormatting>
  <conditionalFormatting sqref="Y41">
    <cfRule type="cellIs" dxfId="41" priority="12" stopIfTrue="1" operator="greaterThan">
      <formula>$AA$41</formula>
    </cfRule>
  </conditionalFormatting>
  <conditionalFormatting sqref="AA41">
    <cfRule type="cellIs" dxfId="40" priority="2" stopIfTrue="1" operator="greaterThan">
      <formula>$Y$41</formula>
    </cfRule>
  </conditionalFormatting>
  <hyperlinks>
    <hyperlink ref="R45" r:id="rId1" display="pabst@swissfaustball.ch" xr:uid="{95963715-01BD-4ABA-BC4F-2F7EEE16A5D4}"/>
  </hyperlinks>
  <pageMargins left="0.7" right="0.7" top="0.78740157499999996" bottom="0.78740157499999996" header="0.3" footer="0.3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indexed="11"/>
  </sheetPr>
  <dimension ref="A1:AN60"/>
  <sheetViews>
    <sheetView workbookViewId="0">
      <selection activeCell="AR24" sqref="AR24"/>
    </sheetView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29'!A5</f>
        <v>1/2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>
        <f>'Aufgebot 29'!A15</f>
        <v>45897</v>
      </c>
      <c r="F6" s="1343"/>
      <c r="G6" s="1343"/>
      <c r="H6" s="1343"/>
      <c r="I6" s="1343"/>
      <c r="J6" s="1320" t="s">
        <v>324</v>
      </c>
      <c r="K6" s="1320"/>
      <c r="L6" s="1321">
        <f>'Aufgebot 29'!G15</f>
        <v>0.79166666666666663</v>
      </c>
      <c r="M6" s="1321"/>
      <c r="N6" s="1321"/>
      <c r="O6" s="1320" t="s">
        <v>323</v>
      </c>
      <c r="P6" s="1320"/>
      <c r="Q6" s="1320"/>
      <c r="R6" s="1320"/>
      <c r="S6" s="1433" t="str">
        <f>'Aufgebot 29'!L15</f>
        <v>Diepoldsau</v>
      </c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348" t="s">
        <v>106</v>
      </c>
      <c r="AE6" s="1348"/>
      <c r="AF6" s="1348"/>
      <c r="AG6" s="1348"/>
      <c r="AH6" s="1320">
        <f>'Aufgebot 29'!Y5</f>
        <v>29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29'!A8</f>
        <v>SVD Diepoldsau-Schmitter (NLA)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29'!O8</f>
        <v>STV Affeltrangen 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414" t="str">
        <f>'Aufgebot 29'!A19&amp;" "&amp;'Aufgebot 29'!G19</f>
        <v>Patrick Sieber +41 79 473 61 88</v>
      </c>
      <c r="H23" s="1414"/>
      <c r="I23" s="1414"/>
      <c r="J23" s="1414"/>
      <c r="K23" s="1414"/>
      <c r="L23" s="1414"/>
      <c r="M23" s="1414"/>
      <c r="N23" s="1414"/>
      <c r="O23" s="1414"/>
      <c r="P23" s="1414"/>
      <c r="Q23" s="1414"/>
      <c r="R23" s="1415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416" t="str">
        <f>'Aufgebot 29'!A9</f>
        <v>Lorena Lipp</v>
      </c>
      <c r="AC23" s="1416"/>
      <c r="AD23" s="1416"/>
      <c r="AE23" s="1416"/>
      <c r="AF23" s="1416"/>
      <c r="AG23" s="1416"/>
      <c r="AH23" s="1416"/>
      <c r="AI23" s="1416"/>
      <c r="AJ23" s="1417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29'!$G$34&gt;0,1,"")</f>
        <v/>
      </c>
      <c r="H30" s="249" t="str">
        <f>IF('Aufgebot 29'!$G$34&gt;0,2,"")</f>
        <v/>
      </c>
      <c r="I30" s="249" t="str">
        <f>IF('Aufgebot 29'!$G$34=3,3,"")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G30</f>
        <v/>
      </c>
      <c r="H32" s="249" t="str">
        <f>H30</f>
        <v/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G32</f>
        <v/>
      </c>
      <c r="H34" s="249" t="str">
        <f>H32</f>
        <v/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G34</f>
        <v/>
      </c>
      <c r="H36" s="249" t="str">
        <f>H34</f>
        <v/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G36</f>
        <v/>
      </c>
      <c r="H39" s="249" t="str">
        <f>H36</f>
        <v/>
      </c>
      <c r="I39" s="249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G39</f>
        <v/>
      </c>
      <c r="H41" s="249" t="str">
        <f>H39</f>
        <v/>
      </c>
      <c r="I41" s="249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G41</f>
        <v/>
      </c>
      <c r="H43" s="249" t="str">
        <f>H41</f>
        <v/>
      </c>
      <c r="I43" s="249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G43</f>
        <v/>
      </c>
      <c r="H45" s="249" t="str">
        <f>H43</f>
        <v/>
      </c>
      <c r="I45" s="249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G45</f>
        <v/>
      </c>
      <c r="H48" s="249" t="str">
        <f>H45</f>
        <v/>
      </c>
      <c r="I48" s="249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A55:AJ55"/>
    <mergeCell ref="A56:Q56"/>
    <mergeCell ref="R56:AJ56"/>
    <mergeCell ref="A57:Q57"/>
    <mergeCell ref="R57:AJ57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N26:P26"/>
    <mergeCell ref="C32:C33"/>
    <mergeCell ref="D32:E33"/>
    <mergeCell ref="C34:C35"/>
    <mergeCell ref="D34:E35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F14:Q14"/>
    <mergeCell ref="X14:AI14"/>
    <mergeCell ref="F15:Q15"/>
    <mergeCell ref="X15:AI15"/>
    <mergeCell ref="F16:Q16"/>
    <mergeCell ref="X16:AI16"/>
    <mergeCell ref="F11:Q11"/>
    <mergeCell ref="X11:AI11"/>
    <mergeCell ref="F12:Q12"/>
    <mergeCell ref="X12:AI12"/>
    <mergeCell ref="F13:Q13"/>
    <mergeCell ref="X13:AI13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Q54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1.1796875" bestFit="1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362">
        <v>4</v>
      </c>
      <c r="D2" s="503" t="str">
        <f>VLOOKUP(A2,Eigaben!Y8:AC14,5,0)</f>
        <v>1/4 Final</v>
      </c>
      <c r="F2" s="371"/>
      <c r="Y2" s="30"/>
    </row>
    <row r="3" spans="1:33" ht="20">
      <c r="A3" s="1216" t="s">
        <v>237</v>
      </c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8"/>
      <c r="AB3" s="156"/>
      <c r="AC3" s="865"/>
      <c r="AD3" s="865"/>
      <c r="AE3" s="865"/>
      <c r="AF3" s="183"/>
    </row>
    <row r="4" spans="1:33" ht="3.75" customHeight="1">
      <c r="A4" s="121">
        <v>1</v>
      </c>
      <c r="O4" s="153"/>
      <c r="AA4" s="118"/>
    </row>
    <row r="5" spans="1:33" ht="19.5" customHeight="1">
      <c r="A5" s="1370" t="str">
        <f>VLOOKUP(A2,Eigaben!Y8:AC14,5,0)</f>
        <v>1/4 Final</v>
      </c>
      <c r="B5" s="1370"/>
      <c r="C5" s="1370"/>
      <c r="D5" s="1370"/>
      <c r="E5" s="1371"/>
      <c r="F5" s="1211">
        <f>VLOOKUP($A$2,Eigaben!$Y$8:$AC$14,2,1)</f>
        <v>45866</v>
      </c>
      <c r="G5" s="1212"/>
      <c r="H5" s="1212"/>
      <c r="I5" s="1212"/>
      <c r="J5" s="1212"/>
      <c r="K5" s="1212"/>
      <c r="L5" s="1212"/>
      <c r="M5" s="1214" t="s">
        <v>614</v>
      </c>
      <c r="N5" s="1214"/>
      <c r="O5" s="1212">
        <f>VLOOKUP($A$2,Eigaben!$Y$8:$AB$14,3,1)</f>
        <v>45884</v>
      </c>
      <c r="P5" s="1212"/>
      <c r="Q5" s="1212"/>
      <c r="R5" s="1212"/>
      <c r="S5" s="1212"/>
      <c r="T5" s="1213"/>
      <c r="U5" s="1182" t="s">
        <v>155</v>
      </c>
      <c r="V5" s="1182"/>
      <c r="W5" s="1182"/>
      <c r="X5" s="1182"/>
      <c r="Y5" s="395">
        <f>'Aufgebot 29'!Y5+1</f>
        <v>30</v>
      </c>
      <c r="Z5" s="394"/>
      <c r="AA5" s="396"/>
      <c r="AC5" s="156"/>
      <c r="AD5" s="265"/>
      <c r="AE5" s="172"/>
    </row>
    <row r="6" spans="1:33" ht="9" customHeight="1" thickBot="1">
      <c r="A6" s="506">
        <f>Eigaben!F74</f>
        <v>44</v>
      </c>
      <c r="B6" s="364"/>
      <c r="C6" s="365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507">
        <f>Eigaben!G74</f>
        <v>66</v>
      </c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7"/>
    </row>
    <row r="7" spans="1:33" ht="18" customHeight="1">
      <c r="A7" s="120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210"/>
      <c r="AC7" s="961"/>
      <c r="AD7" s="961"/>
      <c r="AE7" s="961"/>
      <c r="AF7" s="961"/>
    </row>
    <row r="8" spans="1:33" ht="21" customHeight="1">
      <c r="A8" s="391" t="str">
        <f>(VLOOKUP($A$6,Eigaben!$Y$17:$Z$103,2,0))</f>
        <v>STV Oberentfelden   ( 2. Liga )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3"/>
      <c r="N8" s="1215"/>
      <c r="O8" s="1205" t="str">
        <f>(VLOOKUP($O$6,Eigaben!$Y$17:$Z$103,2,0))</f>
        <v>FG Elgg-Ettenhausen 1 ( NLA )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27" t="str">
        <f>VLOOKUP($A$6,Eigaben!$Y$17:$AH$103,3,1)&amp;" "&amp;VLOOKUP(A6,Eigaben!Y17:AH103,4,1)</f>
        <v>Christian Suter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26"/>
      <c r="N9" s="22"/>
      <c r="O9" s="1128" t="str">
        <f>VLOOKUP($O$6,Eigaben!$Y$17:$AH$103,3,1)&amp;" "&amp;VLOOKUP($O$6,Eigaben!$Y$17:$AH$103,4,1)</f>
        <v>Markus Fehr</v>
      </c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26"/>
    </row>
    <row r="10" spans="1:33" s="169" customFormat="1" ht="17.25" customHeight="1">
      <c r="A10" s="1186" t="str">
        <f>VLOOKUP($A$6,Eigaben!$Y$17:$AH$103,5,1)</f>
        <v>Aeppenhaldenstr 3b</v>
      </c>
      <c r="B10" s="1187"/>
      <c r="C10" s="1187"/>
      <c r="D10" s="1187"/>
      <c r="E10" s="1187"/>
      <c r="F10" s="1187"/>
      <c r="G10" s="1111" t="str">
        <f>VLOOKUP($A$6,Eigaben!$Y$17:$AH$103,6,1)&amp;" "&amp;VLOOKUP(A6,Eigaben!$Y$17:$AH$103,7,1)</f>
        <v>4800 Zofingen</v>
      </c>
      <c r="H10" s="1112"/>
      <c r="I10" s="1112"/>
      <c r="J10" s="1112"/>
      <c r="K10" s="1112"/>
      <c r="L10" s="1112"/>
      <c r="M10" s="1113"/>
      <c r="N10" s="22"/>
      <c r="O10" s="1229" t="str">
        <f>VLOOKUP($O$6,Eigaben!$Y$17:$AH$103,5,1)</f>
        <v>Hintergasse 3a</v>
      </c>
      <c r="P10" s="1187"/>
      <c r="Q10" s="1187"/>
      <c r="R10" s="1187"/>
      <c r="S10" s="1187"/>
      <c r="T10" s="1187"/>
      <c r="U10" s="1187" t="str">
        <f>VLOOKUP($O$6,Eigaben!$Y$17:$AV$103,6,1)&amp;" "&amp;VLOOKUP($O$6,Eigaben!$Y$17:$AV$103,7,1)</f>
        <v>8353 Elgg</v>
      </c>
      <c r="V10" s="1187"/>
      <c r="W10" s="1187"/>
      <c r="X10" s="1187"/>
      <c r="Y10" s="1187"/>
      <c r="Z10" s="1187"/>
      <c r="AA10" s="1191"/>
    </row>
    <row r="11" spans="1:33" s="169" customFormat="1" ht="17.25" customHeight="1">
      <c r="A11" s="1127" t="str">
        <f>IF(Eigaben!AF54=0,"",VLOOKUP($A$6,Eigaben!$Y$17:$AH$103,8,1))</f>
        <v xml:space="preserve"> </v>
      </c>
      <c r="B11" s="1112"/>
      <c r="C11" s="1112"/>
      <c r="D11" s="1112"/>
      <c r="E11" s="1112"/>
      <c r="F11" s="861"/>
      <c r="G11" s="860" t="str">
        <f>IF(Eigaben!$AG$54=0,"",VLOOKUP($A$6,Eigaben!$Y$17:$AH$103,9,1))</f>
        <v>079 476 04 32</v>
      </c>
      <c r="H11" s="1112"/>
      <c r="I11" s="1112"/>
      <c r="J11" s="1112"/>
      <c r="K11" s="1112"/>
      <c r="L11" s="1112"/>
      <c r="M11" s="1126"/>
      <c r="N11" s="22"/>
      <c r="O11" s="1128" t="str">
        <f>IF(Eigaben!AF55=0,"",VLOOKUP($O$6,Eigaben!$Y$17:$AH$103,8,1))</f>
        <v xml:space="preserve"> </v>
      </c>
      <c r="P11" s="1112"/>
      <c r="Q11" s="1112"/>
      <c r="R11" s="1112"/>
      <c r="S11" s="1112"/>
      <c r="T11" s="861"/>
      <c r="U11" s="1112" t="str">
        <f>IF(Eigaben!$P$54=0,"",VLOOKUP($O$6,Eigaben!$Y$17:$AH$103,9,1))</f>
        <v>078 613 39 28</v>
      </c>
      <c r="V11" s="1112"/>
      <c r="W11" s="1112"/>
      <c r="X11" s="1112"/>
      <c r="Y11" s="1112"/>
      <c r="Z11" s="1112"/>
      <c r="AA11" s="1126"/>
    </row>
    <row r="12" spans="1:33" s="169" customFormat="1" ht="18.75" customHeight="1" thickBot="1">
      <c r="A12" s="1203" t="str">
        <f>VLOOKUP($A$6,Eigaben!$Y$17:$AH$103,10,1)</f>
        <v>christian.suter@faustballcenter.ch</v>
      </c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2"/>
      <c r="N12" s="22"/>
      <c r="O12" s="1200" t="str">
        <f>VLOOKUP($O$6,Eigaben!$Y$17:$AH$103,10,1)</f>
        <v>fehr.markus@bluewin.ch</v>
      </c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2"/>
    </row>
    <row r="13" spans="1:33" ht="9" customHeight="1">
      <c r="A13" s="368"/>
      <c r="B13" s="263"/>
      <c r="C13" s="515">
        <f>Eigaben!C74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369"/>
    </row>
    <row r="14" spans="1:33" ht="15.5">
      <c r="A14" s="1192" t="s">
        <v>5</v>
      </c>
      <c r="B14" s="1182"/>
      <c r="C14" s="1182"/>
      <c r="D14" s="1182"/>
      <c r="E14" s="1182"/>
      <c r="F14" s="1182"/>
      <c r="G14" s="1182" t="s">
        <v>0</v>
      </c>
      <c r="H14" s="1182"/>
      <c r="I14" s="1182"/>
      <c r="J14" s="1182"/>
      <c r="K14" s="1182"/>
      <c r="L14" s="1182" t="s">
        <v>6</v>
      </c>
      <c r="M14" s="1182"/>
      <c r="N14" s="1182"/>
      <c r="O14" s="1182"/>
      <c r="P14" s="1182"/>
      <c r="Q14" s="1182"/>
      <c r="R14" s="1182"/>
      <c r="S14" s="1182"/>
      <c r="T14" s="1182" t="s">
        <v>133</v>
      </c>
      <c r="U14" s="1182"/>
      <c r="V14" s="1182"/>
      <c r="W14" s="1182"/>
      <c r="X14" s="1182"/>
      <c r="Y14" s="1182"/>
      <c r="Z14" s="1182"/>
      <c r="AA14" s="1193"/>
    </row>
    <row r="15" spans="1:33" ht="20.25" customHeight="1" thickBot="1">
      <c r="A15" s="1198" t="e">
        <f>IF(Eigaben!C66=0,"",VLOOKUP(C13,Eigaben!$C$28:$V$109,13,0))</f>
        <v>#N/A</v>
      </c>
      <c r="B15" s="1199"/>
      <c r="C15" s="1199"/>
      <c r="D15" s="1199"/>
      <c r="E15" s="1199"/>
      <c r="F15" s="1199"/>
      <c r="G15" s="1194" t="e">
        <f>IF(Eigaben!C66=0,"",VLOOKUP(C13,Eigaben!$C$28:$V$110,14,0))</f>
        <v>#N/A</v>
      </c>
      <c r="H15" s="1194"/>
      <c r="I15" s="1194"/>
      <c r="J15" s="1194"/>
      <c r="K15" s="1194"/>
      <c r="L15" s="1195" t="e">
        <f>IF(Eigaben!C66=0,"",VLOOKUP(C13,Eigaben!$C$28:$V$1110,15,0))</f>
        <v>#N/A</v>
      </c>
      <c r="M15" s="1196"/>
      <c r="N15" s="1196"/>
      <c r="O15" s="1196"/>
      <c r="P15" s="1196"/>
      <c r="Q15" s="1196"/>
      <c r="R15" s="1196"/>
      <c r="S15" s="1197"/>
      <c r="T15" s="1195" t="e">
        <f>IF(Eigaben!C66=0,"",VLOOKUP(C13,Eigaben!$C$28:$V$110,16,0))</f>
        <v>#N/A</v>
      </c>
      <c r="U15" s="1196"/>
      <c r="V15" s="1196"/>
      <c r="W15" s="1196"/>
      <c r="X15" s="1196"/>
      <c r="Y15" s="1196"/>
      <c r="Z15" s="1196"/>
      <c r="AA15" s="1197"/>
      <c r="AC15" s="397"/>
      <c r="AD15" s="397"/>
      <c r="AG15" s="12"/>
    </row>
    <row r="16" spans="1:33" ht="12.75" customHeight="1" thickBot="1">
      <c r="A16" s="357"/>
      <c r="B16" s="358"/>
      <c r="C16" s="505">
        <f>Eigaben!T74</f>
        <v>0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60"/>
      <c r="AC16" s="397"/>
      <c r="AD16" s="397"/>
    </row>
    <row r="17" spans="1:43" ht="20.5" thickBot="1">
      <c r="A17" s="1156" t="s">
        <v>238</v>
      </c>
      <c r="B17" s="1157"/>
      <c r="C17" s="1157"/>
      <c r="D17" s="1157"/>
      <c r="E17" s="1157"/>
      <c r="F17" s="1157"/>
      <c r="G17" s="1157"/>
      <c r="H17" s="1157"/>
      <c r="I17" s="1157"/>
      <c r="J17" s="1157"/>
      <c r="K17" s="1157"/>
      <c r="L17" s="1157"/>
      <c r="M17" s="1403"/>
      <c r="N17" s="1403"/>
      <c r="O17" s="1403"/>
      <c r="P17" s="1403"/>
      <c r="Q17" s="1404"/>
      <c r="R17" s="1404"/>
      <c r="S17" s="1404"/>
      <c r="T17" s="361"/>
      <c r="U17" s="1405"/>
      <c r="V17" s="1405"/>
      <c r="W17" s="1405"/>
      <c r="X17" s="1405"/>
      <c r="Y17" s="1406"/>
      <c r="Z17" s="1406"/>
      <c r="AA17" s="1407"/>
      <c r="AB17" s="156"/>
      <c r="AC17" s="156"/>
      <c r="AD17" s="156"/>
      <c r="AE17" s="182"/>
      <c r="AF17" s="183"/>
    </row>
    <row r="18" spans="1:43" ht="6" customHeight="1">
      <c r="A18" s="121"/>
      <c r="AA18" s="118"/>
      <c r="AC18" s="398"/>
      <c r="AD18" s="398"/>
    </row>
    <row r="19" spans="1:43" ht="18" customHeight="1">
      <c r="A19" s="1361" t="str">
        <f>IF(C16=0,"",VLOOKUP(C16,Schiri_25!A2:L181,3,1)&amp;" "&amp;VLOOKUP(C16,Schiri_25!A2:L181,2,1))</f>
        <v/>
      </c>
      <c r="B19" s="1362"/>
      <c r="C19" s="1362"/>
      <c r="D19" s="1362"/>
      <c r="E19" s="1362"/>
      <c r="F19" s="1363"/>
      <c r="G19" s="860" t="str">
        <f>IF(C16=0,"",VLOOKUP(C16,Schiri_25!A2:L181,9,1))</f>
        <v/>
      </c>
      <c r="H19" s="1112"/>
      <c r="I19" s="1112"/>
      <c r="J19" s="1112"/>
      <c r="K19" s="1112"/>
      <c r="L19" s="1112"/>
      <c r="M19" s="1408" t="str">
        <f>IF(C16=0,"",IF(VLOOKUP(C16,Schiri_25!A2:M122,8,1)=0,"",VLOOKUP(C16,Schiri_25!A2:M122,8,1)))</f>
        <v/>
      </c>
      <c r="N19" s="1408"/>
      <c r="O19" s="1408"/>
      <c r="P19" s="1408"/>
      <c r="Q19" s="902"/>
      <c r="R19" s="1130" t="str">
        <f>IF(C16=0,"",VLOOKUP(C16,Schiri_25!A2:L181,12,1))</f>
        <v/>
      </c>
      <c r="S19" s="1131"/>
      <c r="T19" s="1131"/>
      <c r="U19" s="1131"/>
      <c r="V19" s="1131"/>
      <c r="W19" s="1131"/>
      <c r="X19" s="1131"/>
      <c r="Y19" s="1131"/>
      <c r="Z19" s="1131"/>
      <c r="AA19" s="1132"/>
      <c r="AC19" s="398"/>
      <c r="AD19" s="398"/>
      <c r="AG19" s="184"/>
    </row>
    <row r="20" spans="1:43" ht="6" customHeight="1">
      <c r="A20" s="1224"/>
      <c r="B20" s="1225"/>
      <c r="C20" s="1225"/>
      <c r="D20" s="1225"/>
      <c r="E20" s="1225"/>
      <c r="F20" s="1225"/>
      <c r="G20" s="1226"/>
      <c r="H20" s="1226"/>
      <c r="I20" s="1226"/>
      <c r="J20" s="1225"/>
      <c r="K20" s="1225"/>
      <c r="L20" s="1225"/>
      <c r="M20" s="1225"/>
      <c r="N20" s="1225"/>
      <c r="O20" s="1225"/>
      <c r="P20" s="1225"/>
      <c r="Q20" s="1225"/>
      <c r="R20" s="1225"/>
      <c r="S20" s="1225"/>
      <c r="T20" s="1225"/>
      <c r="U20" s="1225"/>
      <c r="V20" s="1225"/>
      <c r="W20" s="1225"/>
      <c r="X20" s="1225"/>
      <c r="Y20" s="1225"/>
      <c r="Z20" s="1225"/>
      <c r="AA20" s="1227"/>
      <c r="AC20" s="398"/>
      <c r="AD20" s="398"/>
    </row>
    <row r="21" spans="1:43" s="72" customFormat="1" ht="12" customHeight="1">
      <c r="A21" s="305" t="s">
        <v>247</v>
      </c>
      <c r="B21" s="157"/>
      <c r="C21" s="157"/>
      <c r="D21" s="157"/>
      <c r="E21" s="157"/>
      <c r="F21" s="157"/>
      <c r="G21" s="157"/>
      <c r="H21" s="157"/>
      <c r="I21" s="157"/>
      <c r="R21" s="157"/>
      <c r="S21" s="157"/>
      <c r="T21" s="157"/>
      <c r="U21" s="157"/>
      <c r="V21" s="157"/>
      <c r="W21" s="157"/>
      <c r="X21" s="157"/>
      <c r="Y21" s="157"/>
      <c r="Z21" s="157"/>
      <c r="AA21" s="306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307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308"/>
      <c r="AC22" s="172"/>
      <c r="AD22" s="183"/>
    </row>
    <row r="23" spans="1:43" ht="12" customHeight="1">
      <c r="A23" s="1133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IF(G15="","",G15-"00:15:00")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309"/>
      <c r="AC23" s="172"/>
      <c r="AD23" s="183"/>
    </row>
    <row r="24" spans="1:43" ht="6" customHeight="1">
      <c r="A24" s="310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311"/>
      <c r="AC24" s="320"/>
      <c r="AD24" s="320"/>
    </row>
    <row r="25" spans="1:43" ht="14">
      <c r="A25" s="1139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311"/>
      <c r="AC25" s="320"/>
      <c r="AD25" s="320"/>
    </row>
    <row r="26" spans="1:43" ht="3.75" customHeight="1">
      <c r="A26" s="312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311"/>
    </row>
    <row r="27" spans="1:43" ht="18">
      <c r="A27" s="313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222">
        <f>Eigaben!V74</f>
        <v>0</v>
      </c>
      <c r="Z27" s="1222"/>
      <c r="AA27" s="1223"/>
      <c r="AC27" s="156"/>
      <c r="AD27" s="156"/>
      <c r="AH27" s="255"/>
      <c r="AJ27" s="1219"/>
      <c r="AK27" s="1219"/>
      <c r="AL27" s="1219"/>
      <c r="AM27" s="1219"/>
    </row>
    <row r="28" spans="1:43" ht="6" customHeight="1">
      <c r="A28" s="310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311"/>
    </row>
    <row r="29" spans="1:43" s="169" customFormat="1" ht="30.75" customHeight="1" thickBot="1">
      <c r="A29" s="1119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1"/>
    </row>
    <row r="30" spans="1:43" ht="12.75" customHeight="1" thickBot="1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124">
        <f>Eigaben!S74</f>
        <v>0</v>
      </c>
      <c r="H34" s="1125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185"/>
      <c r="B41" s="158" t="s">
        <v>3</v>
      </c>
      <c r="C41" s="155"/>
      <c r="D41" s="181"/>
      <c r="E41" s="158" t="s">
        <v>3</v>
      </c>
      <c r="F41" s="155"/>
      <c r="G41" s="181"/>
      <c r="H41" s="158" t="s">
        <v>3</v>
      </c>
      <c r="I41" s="155"/>
      <c r="J41" s="181"/>
      <c r="K41" s="158" t="s">
        <v>3</v>
      </c>
      <c r="L41" s="155"/>
      <c r="M41" s="181"/>
      <c r="N41" s="158" t="s">
        <v>3</v>
      </c>
      <c r="O41" s="155"/>
      <c r="P41" s="181"/>
      <c r="Q41" s="158" t="s">
        <v>3</v>
      </c>
      <c r="R41" s="155"/>
      <c r="S41" s="181"/>
      <c r="T41" s="158" t="s">
        <v>3</v>
      </c>
      <c r="U41" s="155"/>
      <c r="V41" s="181"/>
      <c r="W41" s="158" t="s">
        <v>3</v>
      </c>
      <c r="X41" s="155"/>
      <c r="Y41" s="190"/>
      <c r="Z41" s="191" t="s">
        <v>3</v>
      </c>
      <c r="AA41" s="186"/>
    </row>
    <row r="42" spans="1:30" s="177" customFormat="1" ht="21" customHeight="1" thickBot="1">
      <c r="A42" s="1168" t="s">
        <v>94</v>
      </c>
      <c r="B42" s="1169"/>
      <c r="C42" s="1170"/>
      <c r="D42" s="1176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1177"/>
      <c r="P42" s="1177"/>
      <c r="Q42" s="1177"/>
      <c r="R42" s="1177"/>
      <c r="S42" s="1177"/>
      <c r="T42" s="1177"/>
      <c r="U42" s="1178"/>
      <c r="V42" s="1175" t="s">
        <v>156</v>
      </c>
      <c r="W42" s="1169"/>
      <c r="X42" s="1170"/>
      <c r="Y42" s="1179" t="s">
        <v>3</v>
      </c>
      <c r="Z42" s="1180"/>
      <c r="AA42" s="1181"/>
    </row>
    <row r="43" spans="1:30" ht="6" customHeight="1">
      <c r="A43" s="121"/>
      <c r="AA43" s="118"/>
    </row>
    <row r="44" spans="1:30" ht="36.75" customHeight="1">
      <c r="A44" s="1165" t="s">
        <v>628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38</v>
      </c>
      <c r="B45" s="1164"/>
      <c r="C45" s="1164"/>
      <c r="D45" s="1164"/>
      <c r="E45" s="1164"/>
      <c r="F45" s="1164"/>
      <c r="G45" s="1164"/>
      <c r="H45" s="1164"/>
      <c r="I45" s="1164"/>
      <c r="J45" s="1164"/>
      <c r="K45" s="962"/>
      <c r="L45" s="962"/>
      <c r="M45" s="962"/>
      <c r="N45" s="962"/>
      <c r="O45" s="962"/>
      <c r="P45" s="962"/>
      <c r="Q45" s="180"/>
      <c r="R45" s="1164" t="s">
        <v>611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18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89"/>
    </row>
    <row r="47" spans="1:30" ht="20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</row>
    <row r="48" spans="1:30" ht="42.75" customHeight="1">
      <c r="A48" s="1172" t="s">
        <v>246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71" t="s">
        <v>242</v>
      </c>
      <c r="V48" s="1171"/>
      <c r="W48" s="1171"/>
      <c r="X48" s="1174">
        <f ca="1">TODAY()</f>
        <v>45897</v>
      </c>
      <c r="Y48" s="1174"/>
      <c r="Z48" s="1174"/>
      <c r="AA48" s="1174"/>
    </row>
    <row r="51" spans="3:9" ht="15.5">
      <c r="C51" s="1163"/>
      <c r="D51" s="1163"/>
      <c r="E51" s="1163"/>
      <c r="F51" s="1163"/>
      <c r="G51" s="1163"/>
      <c r="H51" s="1163"/>
      <c r="I51" s="1163"/>
    </row>
    <row r="53" spans="3:9" ht="15.5">
      <c r="C53" s="168"/>
    </row>
    <row r="54" spans="3:9" ht="15.5">
      <c r="G54" s="167"/>
    </row>
  </sheetData>
  <mergeCells count="90">
    <mergeCell ref="E32:O32"/>
    <mergeCell ref="P32:AA32"/>
    <mergeCell ref="A42:C42"/>
    <mergeCell ref="D42:U42"/>
    <mergeCell ref="V42:X42"/>
    <mergeCell ref="Y42:AA42"/>
    <mergeCell ref="A37:AA37"/>
    <mergeCell ref="A38:AA38"/>
    <mergeCell ref="A39:AA39"/>
    <mergeCell ref="A40:C40"/>
    <mergeCell ref="D40:F40"/>
    <mergeCell ref="G40:I40"/>
    <mergeCell ref="J40:L40"/>
    <mergeCell ref="M40:O40"/>
    <mergeCell ref="P40:R40"/>
    <mergeCell ref="S40:U40"/>
    <mergeCell ref="C51:I51"/>
    <mergeCell ref="A44:AA44"/>
    <mergeCell ref="A45:I45"/>
    <mergeCell ref="J45:P45"/>
    <mergeCell ref="R45:Y45"/>
    <mergeCell ref="A48:T48"/>
    <mergeCell ref="U48:W48"/>
    <mergeCell ref="X48:AA48"/>
    <mergeCell ref="V40:X40"/>
    <mergeCell ref="Y40:AA40"/>
    <mergeCell ref="A36:F36"/>
    <mergeCell ref="G36:AA36"/>
    <mergeCell ref="AJ27:AM27"/>
    <mergeCell ref="A29:AA29"/>
    <mergeCell ref="A31:AA31"/>
    <mergeCell ref="A32:D32"/>
    <mergeCell ref="AC32:AD32"/>
    <mergeCell ref="A33:AA33"/>
    <mergeCell ref="G34:H34"/>
    <mergeCell ref="M34:O34"/>
    <mergeCell ref="AC34:AD34"/>
    <mergeCell ref="A35:AA35"/>
    <mergeCell ref="G27:I27"/>
    <mergeCell ref="M27:S27"/>
    <mergeCell ref="T27:U27"/>
    <mergeCell ref="V27:W27"/>
    <mergeCell ref="Y27:AA27"/>
    <mergeCell ref="Y17:AA17"/>
    <mergeCell ref="A20:AA20"/>
    <mergeCell ref="A23:L23"/>
    <mergeCell ref="M23:O23"/>
    <mergeCell ref="A25:C25"/>
    <mergeCell ref="A19:F19"/>
    <mergeCell ref="G19:L19"/>
    <mergeCell ref="M19:Q19"/>
    <mergeCell ref="R19:AA19"/>
    <mergeCell ref="A17:L17"/>
    <mergeCell ref="M17:P17"/>
    <mergeCell ref="Q17:S17"/>
    <mergeCell ref="U17:X17"/>
    <mergeCell ref="A14:F14"/>
    <mergeCell ref="G14:K14"/>
    <mergeCell ref="L14:S14"/>
    <mergeCell ref="T14:AA14"/>
    <mergeCell ref="A15:F15"/>
    <mergeCell ref="G15:K15"/>
    <mergeCell ref="L15:S15"/>
    <mergeCell ref="T15:AA15"/>
    <mergeCell ref="A11:F11"/>
    <mergeCell ref="G11:M11"/>
    <mergeCell ref="O11:T11"/>
    <mergeCell ref="U11:AA11"/>
    <mergeCell ref="A12:M12"/>
    <mergeCell ref="O12:AA12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O8:AA8"/>
    <mergeCell ref="E1:V1"/>
    <mergeCell ref="A3:AA3"/>
    <mergeCell ref="AC3:AE3"/>
    <mergeCell ref="A5:E5"/>
    <mergeCell ref="F5:L5"/>
    <mergeCell ref="M5:N5"/>
    <mergeCell ref="O5:T5"/>
    <mergeCell ref="U5:X5"/>
  </mergeCells>
  <conditionalFormatting sqref="A41">
    <cfRule type="cellIs" dxfId="39" priority="20" stopIfTrue="1" operator="greaterThan">
      <formula>$C$41</formula>
    </cfRule>
  </conditionalFormatting>
  <conditionalFormatting sqref="C41">
    <cfRule type="cellIs" dxfId="38" priority="10" stopIfTrue="1" operator="greaterThan">
      <formula>$A$41</formula>
    </cfRule>
    <cfRule type="cellIs" dxfId="37" priority="11" stopIfTrue="1" operator="greaterThan">
      <formula>$A$41</formula>
    </cfRule>
  </conditionalFormatting>
  <conditionalFormatting sqref="D41">
    <cfRule type="cellIs" dxfId="36" priority="19" stopIfTrue="1" operator="greaterThan">
      <formula>$F$41</formula>
    </cfRule>
  </conditionalFormatting>
  <conditionalFormatting sqref="F41">
    <cfRule type="cellIs" dxfId="35" priority="9" stopIfTrue="1" operator="greaterThan">
      <formula>$D$41</formula>
    </cfRule>
  </conditionalFormatting>
  <conditionalFormatting sqref="G41">
    <cfRule type="cellIs" dxfId="34" priority="18" stopIfTrue="1" operator="greaterThan">
      <formula>$I$41</formula>
    </cfRule>
  </conditionalFormatting>
  <conditionalFormatting sqref="I41">
    <cfRule type="cellIs" dxfId="33" priority="8" stopIfTrue="1" operator="greaterThan">
      <formula>$G$41</formula>
    </cfRule>
  </conditionalFormatting>
  <conditionalFormatting sqref="J41">
    <cfRule type="cellIs" dxfId="32" priority="17" stopIfTrue="1" operator="greaterThan">
      <formula>$L$41</formula>
    </cfRule>
  </conditionalFormatting>
  <conditionalFormatting sqref="L41">
    <cfRule type="cellIs" dxfId="31" priority="7" stopIfTrue="1" operator="greaterThan">
      <formula>$J$41</formula>
    </cfRule>
  </conditionalFormatting>
  <conditionalFormatting sqref="M41">
    <cfRule type="cellIs" dxfId="30" priority="16" stopIfTrue="1" operator="greaterThan">
      <formula>$O$41</formula>
    </cfRule>
  </conditionalFormatting>
  <conditionalFormatting sqref="O41">
    <cfRule type="cellIs" dxfId="29" priority="6" stopIfTrue="1" operator="greaterThan">
      <formula>$M$41</formula>
    </cfRule>
  </conditionalFormatting>
  <conditionalFormatting sqref="P41">
    <cfRule type="cellIs" dxfId="28" priority="15" stopIfTrue="1" operator="greaterThan">
      <formula>$R$41</formula>
    </cfRule>
  </conditionalFormatting>
  <conditionalFormatting sqref="R41">
    <cfRule type="cellIs" dxfId="27" priority="5" stopIfTrue="1" operator="greaterThan">
      <formula>$P$41</formula>
    </cfRule>
  </conditionalFormatting>
  <conditionalFormatting sqref="S41">
    <cfRule type="cellIs" dxfId="26" priority="14" stopIfTrue="1" operator="greaterThan">
      <formula>$U$41</formula>
    </cfRule>
  </conditionalFormatting>
  <conditionalFormatting sqref="U41">
    <cfRule type="cellIs" dxfId="25" priority="1" stopIfTrue="1" operator="greaterThan">
      <formula>$S$41</formula>
    </cfRule>
    <cfRule type="cellIs" dxfId="24" priority="4" stopIfTrue="1" operator="greaterThan">
      <formula>$U$41</formula>
    </cfRule>
  </conditionalFormatting>
  <conditionalFormatting sqref="V41">
    <cfRule type="cellIs" dxfId="23" priority="13" stopIfTrue="1" operator="greaterThan">
      <formula>$X$41</formula>
    </cfRule>
  </conditionalFormatting>
  <conditionalFormatting sqref="X41">
    <cfRule type="cellIs" dxfId="22" priority="3" stopIfTrue="1" operator="greaterThan">
      <formula>$V$41</formula>
    </cfRule>
  </conditionalFormatting>
  <conditionalFormatting sqref="Y41">
    <cfRule type="cellIs" dxfId="21" priority="12" stopIfTrue="1" operator="greaterThan">
      <formula>$AA$41</formula>
    </cfRule>
  </conditionalFormatting>
  <conditionalFormatting sqref="AA41">
    <cfRule type="cellIs" dxfId="20" priority="2" stopIfTrue="1" operator="greaterThan">
      <formula>$Y$41</formula>
    </cfRule>
  </conditionalFormatting>
  <hyperlinks>
    <hyperlink ref="R45" r:id="rId1" display="pabst@swissfaustball.ch" xr:uid="{00000000-0004-0000-47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indexed="11"/>
  </sheetPr>
  <dimension ref="A1:AN60"/>
  <sheetViews>
    <sheetView workbookViewId="0"/>
  </sheetViews>
  <sheetFormatPr baseColWidth="10" defaultColWidth="11.453125" defaultRowHeight="12.5"/>
  <cols>
    <col min="1" max="1" width="3.26953125" customWidth="1"/>
    <col min="2" max="2" width="4.1796875" hidden="1" customWidth="1"/>
    <col min="3" max="19" width="3.26953125" customWidth="1"/>
    <col min="20" max="20" width="4.453125" hidden="1" customWidth="1"/>
    <col min="21" max="36" width="3.26953125" customWidth="1"/>
    <col min="38" max="40" width="11.453125" bestFit="1" customWidth="1"/>
  </cols>
  <sheetData>
    <row r="1" spans="1:38" s="11" customFormat="1" ht="21" customHeight="1">
      <c r="A1" s="122"/>
      <c r="B1" s="123"/>
      <c r="C1" s="123"/>
      <c r="D1" s="123"/>
      <c r="E1" s="223"/>
      <c r="F1" s="223"/>
      <c r="G1" s="1337" t="str">
        <f>'Aufgebot A'!E1</f>
        <v>37. Schweizer Cup Männer 2025</v>
      </c>
      <c r="H1" s="1338"/>
      <c r="I1" s="1338"/>
      <c r="J1" s="1338"/>
      <c r="K1" s="1338"/>
      <c r="L1" s="1338"/>
      <c r="M1" s="1338"/>
      <c r="N1" s="1338"/>
      <c r="O1" s="1338"/>
      <c r="P1" s="1338"/>
      <c r="Q1" s="1338"/>
      <c r="R1" s="1338"/>
      <c r="S1" s="1338"/>
      <c r="T1" s="1338"/>
      <c r="U1" s="1338"/>
      <c r="V1" s="1338"/>
      <c r="W1" s="1338"/>
      <c r="X1" s="1338"/>
      <c r="Y1" s="1338"/>
      <c r="Z1" s="1338"/>
      <c r="AA1" s="1338"/>
      <c r="AB1" s="1338"/>
      <c r="AC1" s="1338"/>
      <c r="AD1" s="1338"/>
      <c r="AE1" s="1338"/>
      <c r="AF1" s="1338"/>
      <c r="AG1" s="1338"/>
      <c r="AH1" s="1338"/>
      <c r="AI1" s="1338"/>
      <c r="AJ1" s="1339"/>
    </row>
    <row r="2" spans="1:38" s="12" customFormat="1" ht="24" customHeight="1" thickBot="1">
      <c r="A2" s="128"/>
      <c r="B2" s="127"/>
      <c r="C2" s="127"/>
      <c r="D2" s="127"/>
      <c r="E2" s="159"/>
      <c r="F2" s="159"/>
      <c r="G2" s="1340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1341"/>
      <c r="Z2" s="1341"/>
      <c r="AA2" s="1341"/>
      <c r="AB2" s="1341"/>
      <c r="AC2" s="1341"/>
      <c r="AD2" s="1341"/>
      <c r="AE2" s="1341"/>
      <c r="AF2" s="1341"/>
      <c r="AG2" s="1341"/>
      <c r="AH2" s="1341"/>
      <c r="AI2" s="1341"/>
      <c r="AJ2" s="1342"/>
    </row>
    <row r="3" spans="1:38" s="15" customFormat="1" ht="7" customHeight="1" thickBot="1">
      <c r="A3" s="124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J3" s="120"/>
    </row>
    <row r="4" spans="1:38" s="16" customFormat="1" ht="24" customHeight="1" thickBot="1">
      <c r="A4" s="121"/>
      <c r="B4"/>
      <c r="C4"/>
      <c r="D4"/>
      <c r="E4"/>
      <c r="F4" s="160"/>
      <c r="G4" s="1353" t="s">
        <v>104</v>
      </c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5" t="str">
        <f>'Aufgebot 30'!A5</f>
        <v>1/4 Final</v>
      </c>
      <c r="AE4" s="1355"/>
      <c r="AF4" s="1355"/>
      <c r="AG4" s="1355"/>
      <c r="AH4" s="1355"/>
      <c r="AI4" s="1355"/>
      <c r="AJ4" s="1356"/>
    </row>
    <row r="5" spans="1:38" ht="6" customHeight="1" thickBot="1">
      <c r="A5" s="161"/>
      <c r="B5" s="15"/>
      <c r="C5" s="15"/>
      <c r="D5" s="15"/>
      <c r="E5" s="15"/>
      <c r="F5" s="15"/>
      <c r="Q5" s="15"/>
      <c r="R5" s="15"/>
      <c r="AJ5" s="118"/>
    </row>
    <row r="6" spans="1:38" s="1" customFormat="1" ht="20.149999999999999" customHeight="1" thickBot="1">
      <c r="A6" s="1326" t="s">
        <v>105</v>
      </c>
      <c r="B6" s="1320"/>
      <c r="C6" s="1320"/>
      <c r="D6" s="1320"/>
      <c r="E6" s="1343" t="e">
        <f>'Aufgebot 30'!A15</f>
        <v>#N/A</v>
      </c>
      <c r="F6" s="1343"/>
      <c r="G6" s="1343"/>
      <c r="H6" s="1343"/>
      <c r="I6" s="1343"/>
      <c r="J6" s="1320" t="s">
        <v>324</v>
      </c>
      <c r="K6" s="1320"/>
      <c r="L6" s="1321" t="e">
        <f>'Aufgebot 30'!G15</f>
        <v>#N/A</v>
      </c>
      <c r="M6" s="1321"/>
      <c r="N6" s="1321"/>
      <c r="O6" s="1320" t="s">
        <v>323</v>
      </c>
      <c r="P6" s="1320"/>
      <c r="Q6" s="1320"/>
      <c r="R6" s="1320"/>
      <c r="S6" s="1409" t="e">
        <f>'Aufgebot 30'!L15</f>
        <v>#N/A</v>
      </c>
      <c r="T6" s="1320"/>
      <c r="U6" s="1320"/>
      <c r="V6" s="1320"/>
      <c r="W6" s="1320"/>
      <c r="X6" s="1320"/>
      <c r="Y6" s="1320"/>
      <c r="Z6" s="1320"/>
      <c r="AA6" s="1320"/>
      <c r="AB6" s="1320"/>
      <c r="AC6" s="1320"/>
      <c r="AD6" s="1348" t="s">
        <v>106</v>
      </c>
      <c r="AE6" s="1348"/>
      <c r="AF6" s="1348"/>
      <c r="AG6" s="1348"/>
      <c r="AH6" s="1320">
        <f>'Aufgebot 30'!Y5</f>
        <v>30</v>
      </c>
      <c r="AI6" s="1320"/>
      <c r="AJ6" s="1349"/>
    </row>
    <row r="7" spans="1:38" s="1" customFormat="1" ht="6" customHeight="1" thickBot="1">
      <c r="A7" s="125"/>
      <c r="B7" s="17"/>
      <c r="C7" s="17"/>
      <c r="D7" s="17"/>
      <c r="E7" s="17"/>
      <c r="F7" s="17"/>
      <c r="Q7" s="17"/>
      <c r="R7" s="17"/>
      <c r="Z7" s="17"/>
      <c r="AB7" s="17"/>
      <c r="AC7" s="17"/>
      <c r="AD7" s="17"/>
      <c r="AJ7" s="126"/>
    </row>
    <row r="8" spans="1:38" s="18" customFormat="1" ht="20.149999999999999" customHeight="1">
      <c r="A8" s="1322" t="s">
        <v>107</v>
      </c>
      <c r="B8" s="1323"/>
      <c r="C8" s="1323"/>
      <c r="D8" s="1323"/>
      <c r="E8" s="1323"/>
      <c r="F8" s="1323"/>
      <c r="G8" s="1412" t="str">
        <f>'Aufgebot 30'!A8</f>
        <v>STV Oberentfelden   ( 2. Liga )</v>
      </c>
      <c r="H8" s="1412"/>
      <c r="I8" s="1412"/>
      <c r="J8" s="1412"/>
      <c r="K8" s="1412"/>
      <c r="L8" s="1412"/>
      <c r="M8" s="1412"/>
      <c r="N8" s="1412"/>
      <c r="O8" s="1412"/>
      <c r="P8" s="1412"/>
      <c r="Q8" s="1413"/>
      <c r="R8" s="1346" t="s">
        <v>108</v>
      </c>
      <c r="S8" s="1357" t="s">
        <v>109</v>
      </c>
      <c r="T8" s="1358"/>
      <c r="U8" s="1358"/>
      <c r="V8" s="1358"/>
      <c r="W8" s="1358"/>
      <c r="X8" s="1358"/>
      <c r="Y8" s="1412" t="str">
        <f>'Aufgebot 30'!O8</f>
        <v>FG Elgg-Ettenhausen 1 ( NLA )</v>
      </c>
      <c r="Z8" s="1412"/>
      <c r="AA8" s="1412"/>
      <c r="AB8" s="1412"/>
      <c r="AC8" s="1412"/>
      <c r="AD8" s="1412"/>
      <c r="AE8" s="1412"/>
      <c r="AF8" s="1412"/>
      <c r="AG8" s="1412"/>
      <c r="AH8" s="1412"/>
      <c r="AI8" s="1413"/>
      <c r="AJ8" s="1344" t="s">
        <v>108</v>
      </c>
    </row>
    <row r="9" spans="1:38" s="19" customFormat="1" ht="17.25" customHeight="1">
      <c r="A9" s="81" t="s">
        <v>110</v>
      </c>
      <c r="B9" s="74"/>
      <c r="C9" s="74" t="s">
        <v>111</v>
      </c>
      <c r="D9" s="74" t="s">
        <v>112</v>
      </c>
      <c r="E9" s="74" t="s">
        <v>322</v>
      </c>
      <c r="F9" s="1350" t="s">
        <v>113</v>
      </c>
      <c r="G9" s="1351"/>
      <c r="H9" s="1351"/>
      <c r="I9" s="1351"/>
      <c r="J9" s="1351"/>
      <c r="K9" s="1351"/>
      <c r="L9" s="1351"/>
      <c r="M9" s="1351"/>
      <c r="N9" s="1351"/>
      <c r="O9" s="1351"/>
      <c r="P9" s="1351"/>
      <c r="Q9" s="1352"/>
      <c r="R9" s="1347"/>
      <c r="S9" s="81" t="s">
        <v>110</v>
      </c>
      <c r="T9" s="74"/>
      <c r="U9" s="74" t="s">
        <v>111</v>
      </c>
      <c r="V9" s="74" t="s">
        <v>112</v>
      </c>
      <c r="W9" s="74" t="s">
        <v>322</v>
      </c>
      <c r="X9" s="1350" t="s">
        <v>113</v>
      </c>
      <c r="Y9" s="1351"/>
      <c r="Z9" s="1351"/>
      <c r="AA9" s="1351"/>
      <c r="AB9" s="1351"/>
      <c r="AC9" s="1351"/>
      <c r="AD9" s="1351"/>
      <c r="AE9" s="1351"/>
      <c r="AF9" s="1351"/>
      <c r="AG9" s="1351"/>
      <c r="AH9" s="1351"/>
      <c r="AI9" s="1352"/>
      <c r="AJ9" s="1345"/>
    </row>
    <row r="10" spans="1:38" s="20" customFormat="1" ht="17.149999999999999" customHeight="1">
      <c r="A10" s="82"/>
      <c r="B10" s="75"/>
      <c r="C10" s="76"/>
      <c r="D10" s="76"/>
      <c r="E10" s="77" t="s">
        <v>134</v>
      </c>
      <c r="F10" s="1334" t="s">
        <v>134</v>
      </c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6"/>
      <c r="R10" s="231"/>
      <c r="S10" s="82"/>
      <c r="T10" s="75"/>
      <c r="U10" s="86"/>
      <c r="V10" s="76"/>
      <c r="W10" s="77" t="s">
        <v>134</v>
      </c>
      <c r="X10" s="1334" t="s">
        <v>134</v>
      </c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6"/>
      <c r="AJ10" s="83"/>
      <c r="AL10" s="21"/>
    </row>
    <row r="11" spans="1:38" s="20" customFormat="1" ht="17.149999999999999" customHeight="1">
      <c r="A11" s="82"/>
      <c r="B11" s="75"/>
      <c r="C11" s="76"/>
      <c r="D11" s="76"/>
      <c r="E11" s="77" t="s">
        <v>134</v>
      </c>
      <c r="F11" s="1334" t="s">
        <v>134</v>
      </c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6" t="s">
        <v>134</v>
      </c>
      <c r="R11" s="231"/>
      <c r="S11" s="82"/>
      <c r="T11" s="75"/>
      <c r="U11" s="86"/>
      <c r="V11" s="76"/>
      <c r="W11" s="77" t="s">
        <v>134</v>
      </c>
      <c r="X11" s="1334" t="s">
        <v>134</v>
      </c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6" t="s">
        <v>134</v>
      </c>
      <c r="AJ11" s="83"/>
    </row>
    <row r="12" spans="1:38" s="20" customFormat="1" ht="17.149999999999999" customHeight="1">
      <c r="A12" s="82"/>
      <c r="B12" s="75"/>
      <c r="C12" s="76"/>
      <c r="D12" s="76"/>
      <c r="E12" s="129" t="s">
        <v>134</v>
      </c>
      <c r="F12" s="1334" t="s">
        <v>134</v>
      </c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6" t="s">
        <v>134</v>
      </c>
      <c r="R12" s="231"/>
      <c r="S12" s="82"/>
      <c r="T12" s="75"/>
      <c r="U12" s="86"/>
      <c r="V12" s="76"/>
      <c r="W12" s="77" t="s">
        <v>134</v>
      </c>
      <c r="X12" s="1334" t="s">
        <v>134</v>
      </c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6" t="s">
        <v>134</v>
      </c>
      <c r="AJ12" s="83"/>
    </row>
    <row r="13" spans="1:38" s="20" customFormat="1" ht="17.149999999999999" customHeight="1">
      <c r="A13" s="82"/>
      <c r="B13" s="75"/>
      <c r="C13" s="76"/>
      <c r="D13" s="76"/>
      <c r="E13" s="77" t="s">
        <v>134</v>
      </c>
      <c r="F13" s="1334" t="s">
        <v>134</v>
      </c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6" t="s">
        <v>134</v>
      </c>
      <c r="R13" s="231"/>
      <c r="S13" s="82"/>
      <c r="T13" s="75"/>
      <c r="U13" s="86"/>
      <c r="V13" s="76"/>
      <c r="W13" s="77" t="s">
        <v>134</v>
      </c>
      <c r="X13" s="1334" t="s">
        <v>134</v>
      </c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6" t="s">
        <v>134</v>
      </c>
      <c r="AJ13" s="83"/>
    </row>
    <row r="14" spans="1:38" s="20" customFormat="1" ht="17.149999999999999" customHeight="1">
      <c r="A14" s="82"/>
      <c r="B14" s="75"/>
      <c r="C14" s="76"/>
      <c r="D14" s="76"/>
      <c r="E14" s="77" t="s">
        <v>134</v>
      </c>
      <c r="F14" s="1334" t="s">
        <v>134</v>
      </c>
      <c r="G14" s="1335"/>
      <c r="H14" s="1335"/>
      <c r="I14" s="1335"/>
      <c r="J14" s="1335"/>
      <c r="K14" s="1335"/>
      <c r="L14" s="1335"/>
      <c r="M14" s="1335"/>
      <c r="N14" s="1335"/>
      <c r="O14" s="1335"/>
      <c r="P14" s="1335"/>
      <c r="Q14" s="1336" t="s">
        <v>134</v>
      </c>
      <c r="R14" s="231"/>
      <c r="S14" s="82"/>
      <c r="T14" s="75"/>
      <c r="U14" s="86"/>
      <c r="V14" s="76"/>
      <c r="W14" s="77" t="s">
        <v>134</v>
      </c>
      <c r="X14" s="1334" t="s">
        <v>134</v>
      </c>
      <c r="Y14" s="1335"/>
      <c r="Z14" s="1335"/>
      <c r="AA14" s="1335"/>
      <c r="AB14" s="1335"/>
      <c r="AC14" s="1335"/>
      <c r="AD14" s="1335"/>
      <c r="AE14" s="1335"/>
      <c r="AF14" s="1335"/>
      <c r="AG14" s="1335"/>
      <c r="AH14" s="1335"/>
      <c r="AI14" s="1336" t="s">
        <v>134</v>
      </c>
      <c r="AJ14" s="83"/>
    </row>
    <row r="15" spans="1:38" s="20" customFormat="1" ht="17.149999999999999" customHeight="1">
      <c r="A15" s="82"/>
      <c r="B15" s="75"/>
      <c r="C15" s="76"/>
      <c r="D15" s="76"/>
      <c r="E15" s="129" t="s">
        <v>134</v>
      </c>
      <c r="F15" s="1334" t="s">
        <v>134</v>
      </c>
      <c r="G15" s="1335"/>
      <c r="H15" s="1335"/>
      <c r="I15" s="1335"/>
      <c r="J15" s="1335"/>
      <c r="K15" s="1335"/>
      <c r="L15" s="1335"/>
      <c r="M15" s="1335"/>
      <c r="N15" s="1335"/>
      <c r="O15" s="1335"/>
      <c r="P15" s="1335"/>
      <c r="Q15" s="1336" t="s">
        <v>134</v>
      </c>
      <c r="R15" s="231"/>
      <c r="S15" s="82"/>
      <c r="T15" s="75"/>
      <c r="U15" s="87"/>
      <c r="V15" s="76"/>
      <c r="W15" s="77" t="s">
        <v>134</v>
      </c>
      <c r="X15" s="1334" t="s">
        <v>134</v>
      </c>
      <c r="Y15" s="1335"/>
      <c r="Z15" s="1335"/>
      <c r="AA15" s="1335"/>
      <c r="AB15" s="1335"/>
      <c r="AC15" s="1335"/>
      <c r="AD15" s="1335"/>
      <c r="AE15" s="1335"/>
      <c r="AF15" s="1335"/>
      <c r="AG15" s="1335"/>
      <c r="AH15" s="1335"/>
      <c r="AI15" s="1336" t="s">
        <v>134</v>
      </c>
      <c r="AJ15" s="83"/>
    </row>
    <row r="16" spans="1:38" s="20" customFormat="1" ht="17.149999999999999" customHeight="1">
      <c r="A16" s="82"/>
      <c r="B16" s="75"/>
      <c r="C16" s="76"/>
      <c r="D16" s="76"/>
      <c r="E16" s="77" t="s">
        <v>134</v>
      </c>
      <c r="F16" s="1334" t="s">
        <v>134</v>
      </c>
      <c r="G16" s="1335"/>
      <c r="H16" s="1335"/>
      <c r="I16" s="1335"/>
      <c r="J16" s="1335"/>
      <c r="K16" s="1335"/>
      <c r="L16" s="1335"/>
      <c r="M16" s="1335"/>
      <c r="N16" s="1335"/>
      <c r="O16" s="1335"/>
      <c r="P16" s="1335"/>
      <c r="Q16" s="1336" t="s">
        <v>134</v>
      </c>
      <c r="R16" s="231"/>
      <c r="S16" s="82"/>
      <c r="T16" s="75"/>
      <c r="U16" s="87"/>
      <c r="V16" s="76"/>
      <c r="W16" s="77" t="s">
        <v>134</v>
      </c>
      <c r="X16" s="1334" t="s">
        <v>134</v>
      </c>
      <c r="Y16" s="1335"/>
      <c r="Z16" s="1335"/>
      <c r="AA16" s="1335"/>
      <c r="AB16" s="1335"/>
      <c r="AC16" s="1335"/>
      <c r="AD16" s="1335"/>
      <c r="AE16" s="1335"/>
      <c r="AF16" s="1335"/>
      <c r="AG16" s="1335"/>
      <c r="AH16" s="1335"/>
      <c r="AI16" s="1336" t="s">
        <v>134</v>
      </c>
      <c r="AJ16" s="83"/>
    </row>
    <row r="17" spans="1:40" s="20" customFormat="1" ht="17.149999999999999" customHeight="1">
      <c r="A17" s="82"/>
      <c r="B17" s="75"/>
      <c r="C17" s="76"/>
      <c r="D17" s="76"/>
      <c r="E17" s="77" t="s">
        <v>134</v>
      </c>
      <c r="F17" s="1334" t="s">
        <v>134</v>
      </c>
      <c r="G17" s="1335"/>
      <c r="H17" s="1335"/>
      <c r="I17" s="1335"/>
      <c r="J17" s="1335"/>
      <c r="K17" s="1335"/>
      <c r="L17" s="1335"/>
      <c r="M17" s="1335"/>
      <c r="N17" s="1335"/>
      <c r="O17" s="1335"/>
      <c r="P17" s="1335"/>
      <c r="Q17" s="1336" t="s">
        <v>134</v>
      </c>
      <c r="R17" s="231"/>
      <c r="S17" s="82"/>
      <c r="T17" s="75"/>
      <c r="U17" s="87"/>
      <c r="V17" s="76"/>
      <c r="W17" s="77" t="s">
        <v>134</v>
      </c>
      <c r="X17" s="1334" t="s">
        <v>134</v>
      </c>
      <c r="Y17" s="1335"/>
      <c r="Z17" s="1335"/>
      <c r="AA17" s="1335"/>
      <c r="AB17" s="1335"/>
      <c r="AC17" s="1335"/>
      <c r="AD17" s="1335"/>
      <c r="AE17" s="1335"/>
      <c r="AF17" s="1335"/>
      <c r="AG17" s="1335"/>
      <c r="AH17" s="1335"/>
      <c r="AI17" s="1336" t="s">
        <v>134</v>
      </c>
      <c r="AJ17" s="83"/>
      <c r="AL17" s="22"/>
      <c r="AM17" s="23"/>
      <c r="AN17" s="22"/>
    </row>
    <row r="18" spans="1:40" s="20" customFormat="1" ht="17.149999999999999" customHeight="1">
      <c r="A18" s="82"/>
      <c r="B18" s="75"/>
      <c r="C18" s="76"/>
      <c r="D18" s="76"/>
      <c r="E18" s="77" t="s">
        <v>134</v>
      </c>
      <c r="F18" s="1334" t="s">
        <v>134</v>
      </c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6" t="s">
        <v>134</v>
      </c>
      <c r="R18" s="231"/>
      <c r="S18" s="82"/>
      <c r="T18" s="75"/>
      <c r="U18" s="86"/>
      <c r="V18" s="76"/>
      <c r="W18" s="77" t="s">
        <v>134</v>
      </c>
      <c r="X18" s="1334" t="s">
        <v>134</v>
      </c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6" t="s">
        <v>134</v>
      </c>
      <c r="AJ18" s="83"/>
    </row>
    <row r="19" spans="1:40" s="20" customFormat="1" ht="17.149999999999999" customHeight="1" thickBot="1">
      <c r="A19" s="84"/>
      <c r="B19" s="78"/>
      <c r="C19" s="79"/>
      <c r="D19" s="79"/>
      <c r="E19" s="80" t="s">
        <v>134</v>
      </c>
      <c r="F19" s="1331" t="s">
        <v>134</v>
      </c>
      <c r="G19" s="1332"/>
      <c r="H19" s="1332"/>
      <c r="I19" s="1332"/>
      <c r="J19" s="1332"/>
      <c r="K19" s="1332"/>
      <c r="L19" s="1332"/>
      <c r="M19" s="1332"/>
      <c r="N19" s="1332"/>
      <c r="O19" s="1332"/>
      <c r="P19" s="1332"/>
      <c r="Q19" s="1333"/>
      <c r="R19" s="232"/>
      <c r="S19" s="84"/>
      <c r="T19" s="78"/>
      <c r="U19" s="88"/>
      <c r="V19" s="79"/>
      <c r="W19" s="80" t="s">
        <v>134</v>
      </c>
      <c r="X19" s="1331" t="s">
        <v>134</v>
      </c>
      <c r="Y19" s="1332"/>
      <c r="Z19" s="1332"/>
      <c r="AA19" s="1332"/>
      <c r="AB19" s="1332"/>
      <c r="AC19" s="1332"/>
      <c r="AD19" s="1332"/>
      <c r="AE19" s="1332"/>
      <c r="AF19" s="1332"/>
      <c r="AG19" s="1332"/>
      <c r="AH19" s="1332"/>
      <c r="AI19" s="1333"/>
      <c r="AJ19" s="85"/>
    </row>
    <row r="20" spans="1:40" s="20" customFormat="1" ht="17.149999999999999" customHeight="1">
      <c r="A20" s="246" t="s">
        <v>114</v>
      </c>
      <c r="B20" s="234"/>
      <c r="C20" s="239"/>
      <c r="D20" s="240"/>
      <c r="E20" s="240"/>
      <c r="F20" s="235"/>
      <c r="G20" s="233" t="s">
        <v>134</v>
      </c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6"/>
      <c r="S20" s="1329" t="s">
        <v>115</v>
      </c>
      <c r="T20" s="1330"/>
      <c r="U20" s="1330"/>
      <c r="V20" s="1330"/>
      <c r="W20" s="1330"/>
      <c r="X20" s="235"/>
      <c r="Y20" s="237" t="s">
        <v>134</v>
      </c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8"/>
    </row>
    <row r="21" spans="1:40" s="1" customFormat="1" ht="17.149999999999999" customHeight="1" thickBot="1">
      <c r="A21" s="247" t="s">
        <v>116</v>
      </c>
      <c r="B21" s="24"/>
      <c r="C21" s="241"/>
      <c r="D21" s="242"/>
      <c r="E21" s="242"/>
      <c r="F21" s="25"/>
      <c r="G21" s="26" t="s">
        <v>134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7"/>
      <c r="S21" s="1327" t="s">
        <v>116</v>
      </c>
      <c r="T21" s="1328"/>
      <c r="U21" s="1328"/>
      <c r="V21" s="1328"/>
      <c r="W21" s="1328"/>
      <c r="X21" s="28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133"/>
    </row>
    <row r="22" spans="1:40" ht="9" customHeight="1" thickBot="1">
      <c r="A22" s="134"/>
      <c r="B22" s="20"/>
      <c r="C22" s="30"/>
      <c r="D22" s="31"/>
      <c r="E22" s="31"/>
      <c r="F22" s="31"/>
      <c r="G22" s="32"/>
      <c r="H22" s="32"/>
      <c r="I22" s="32"/>
      <c r="J22" s="32"/>
      <c r="L22" s="32"/>
      <c r="M22" s="32"/>
      <c r="N22" s="32"/>
      <c r="O22" s="32"/>
      <c r="P22" s="31"/>
      <c r="Q22" s="2"/>
      <c r="R22" s="32"/>
      <c r="S22" s="32"/>
      <c r="T22" s="32"/>
      <c r="U22" s="32"/>
      <c r="V22" s="32"/>
      <c r="W22" s="33"/>
      <c r="X22" s="32"/>
      <c r="Y22" s="32"/>
      <c r="Z22" s="32"/>
      <c r="AA22" s="32"/>
      <c r="AB22" s="32"/>
      <c r="AC22" s="32"/>
      <c r="AD22" s="32"/>
      <c r="AF22" s="32"/>
      <c r="AG22" s="32"/>
      <c r="AH22" s="32"/>
      <c r="AI22" s="32"/>
      <c r="AJ22" s="118"/>
    </row>
    <row r="23" spans="1:40" s="34" customFormat="1" ht="14.25" customHeight="1" thickBot="1">
      <c r="A23" s="509" t="s">
        <v>117</v>
      </c>
      <c r="B23" s="510"/>
      <c r="C23" s="510"/>
      <c r="D23" s="510"/>
      <c r="E23" s="510"/>
      <c r="F23" s="511"/>
      <c r="G23" s="1309" t="str">
        <f>'Aufgebot 29'!A19&amp;" "&amp;'Aufgebot 29'!G19</f>
        <v>Patrick Sieber +41 79 473 61 88</v>
      </c>
      <c r="H23" s="1309"/>
      <c r="I23" s="1309"/>
      <c r="J23" s="1309"/>
      <c r="K23" s="1309"/>
      <c r="L23" s="1309"/>
      <c r="M23" s="1309"/>
      <c r="N23" s="1309"/>
      <c r="O23" s="1309"/>
      <c r="P23" s="1309"/>
      <c r="Q23" s="1309"/>
      <c r="R23" s="1310"/>
      <c r="S23" s="243" t="s">
        <v>152</v>
      </c>
      <c r="T23" s="244"/>
      <c r="U23" s="244"/>
      <c r="V23" s="244"/>
      <c r="W23" s="244"/>
      <c r="X23" s="244"/>
      <c r="Y23" s="244"/>
      <c r="Z23" s="245"/>
      <c r="AA23" s="245"/>
      <c r="AB23" s="1292" t="str">
        <f>'Aufgebot 29'!A9</f>
        <v>Lorena Lipp</v>
      </c>
      <c r="AC23" s="1292"/>
      <c r="AD23" s="1292"/>
      <c r="AE23" s="1292"/>
      <c r="AF23" s="1292"/>
      <c r="AG23" s="1292"/>
      <c r="AH23" s="1292"/>
      <c r="AI23" s="1292"/>
      <c r="AJ23" s="1293"/>
    </row>
    <row r="24" spans="1:40" s="34" customFormat="1" ht="15" customHeight="1" thickBot="1">
      <c r="A24" s="147" t="s">
        <v>118</v>
      </c>
      <c r="B24" s="148"/>
      <c r="C24" s="149"/>
      <c r="D24" s="150"/>
      <c r="E24" s="150"/>
      <c r="F24" s="148"/>
      <c r="G24" s="1305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6"/>
      <c r="S24" s="1303" t="s">
        <v>118</v>
      </c>
      <c r="T24" s="1304"/>
      <c r="U24" s="1304"/>
      <c r="V24" s="1304"/>
      <c r="W24" s="1304"/>
      <c r="X24" s="1304"/>
      <c r="Y24" s="1305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6"/>
    </row>
    <row r="25" spans="1:40" s="34" customFormat="1" ht="6" customHeight="1">
      <c r="A25" s="135"/>
      <c r="B25" s="35"/>
      <c r="C25" s="36"/>
      <c r="D25" s="14"/>
      <c r="E25" s="14"/>
      <c r="F25" s="35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4"/>
      <c r="S25" s="35"/>
      <c r="T25" s="3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26"/>
    </row>
    <row r="26" spans="1:40" s="1" customFormat="1" ht="16.5" customHeight="1">
      <c r="A26" s="1295" t="s">
        <v>119</v>
      </c>
      <c r="B26" s="1296"/>
      <c r="C26" s="1297"/>
      <c r="D26" s="1297"/>
      <c r="E26" s="1297"/>
      <c r="F26" s="1297"/>
      <c r="G26" s="14"/>
      <c r="H26" s="38" t="s">
        <v>321</v>
      </c>
      <c r="I26" s="230" t="s">
        <v>1</v>
      </c>
      <c r="J26" s="39"/>
      <c r="K26" s="230" t="s">
        <v>2</v>
      </c>
      <c r="L26" s="40"/>
      <c r="M26" s="41"/>
      <c r="N26" s="1300" t="s">
        <v>320</v>
      </c>
      <c r="O26" s="1300"/>
      <c r="P26" s="1300"/>
      <c r="Q26" s="230" t="s">
        <v>1</v>
      </c>
      <c r="R26" s="39"/>
      <c r="S26" s="230" t="s">
        <v>2</v>
      </c>
      <c r="T26" s="38"/>
      <c r="U26" s="40"/>
      <c r="V26" s="42"/>
      <c r="W26" s="43"/>
      <c r="X26" s="42"/>
      <c r="Y26" s="42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126"/>
    </row>
    <row r="27" spans="1:40" ht="3" customHeight="1">
      <c r="A27" s="134"/>
      <c r="B27" s="20"/>
      <c r="C27" s="30"/>
      <c r="D27" s="31"/>
      <c r="E27" s="31"/>
      <c r="F27" s="31"/>
      <c r="G27" s="32"/>
      <c r="H27" s="32"/>
      <c r="I27" s="32"/>
      <c r="J27" s="32"/>
      <c r="L27" s="32"/>
      <c r="M27" s="32"/>
      <c r="N27" s="32"/>
      <c r="O27" s="32"/>
      <c r="P27" s="31"/>
      <c r="Q27" s="2"/>
      <c r="R27" s="32"/>
      <c r="S27" s="32"/>
      <c r="T27" s="32"/>
      <c r="U27" s="32"/>
      <c r="V27" s="32"/>
      <c r="W27" s="33"/>
      <c r="X27" s="32"/>
      <c r="Y27" s="32"/>
      <c r="Z27" s="32"/>
      <c r="AA27" s="32"/>
      <c r="AB27" s="32"/>
      <c r="AC27" s="32"/>
      <c r="AD27" s="32"/>
      <c r="AJ27" s="118"/>
    </row>
    <row r="28" spans="1:40" s="52" customFormat="1" ht="14.25" customHeight="1">
      <c r="A28" s="136" t="s">
        <v>120</v>
      </c>
      <c r="B28" s="44"/>
      <c r="C28" s="222"/>
      <c r="D28" s="45"/>
      <c r="E28" s="45"/>
      <c r="F28" s="45"/>
      <c r="G28" s="46"/>
      <c r="H28" s="47" t="s">
        <v>121</v>
      </c>
      <c r="I28" s="44" t="s">
        <v>122</v>
      </c>
      <c r="J28" s="44"/>
      <c r="K28" s="48"/>
      <c r="L28" s="45"/>
      <c r="M28" s="47" t="s">
        <v>121</v>
      </c>
      <c r="N28" s="44" t="s">
        <v>123</v>
      </c>
      <c r="O28" s="44"/>
      <c r="P28" s="44"/>
      <c r="Q28" s="47" t="s">
        <v>121</v>
      </c>
      <c r="R28" s="44" t="s">
        <v>124</v>
      </c>
      <c r="S28" s="44"/>
      <c r="T28" s="44"/>
      <c r="U28" s="44"/>
      <c r="V28" s="44" t="s">
        <v>125</v>
      </c>
      <c r="W28" s="44"/>
      <c r="X28" s="44"/>
      <c r="Y28" s="44"/>
      <c r="Z28" s="44"/>
      <c r="AA28" s="222"/>
      <c r="AB28" s="222"/>
      <c r="AC28" s="222"/>
      <c r="AD28" s="222"/>
      <c r="AE28" s="222"/>
      <c r="AF28" s="49"/>
      <c r="AG28" s="50"/>
      <c r="AH28" s="51"/>
      <c r="AI28" s="51"/>
      <c r="AJ28" s="137"/>
    </row>
    <row r="29" spans="1:40" ht="5.15" customHeight="1" thickBot="1">
      <c r="A29" s="134"/>
      <c r="B29" s="20"/>
      <c r="C29" s="30"/>
      <c r="D29" s="31"/>
      <c r="E29" s="31"/>
      <c r="F29" s="31"/>
      <c r="G29" s="32"/>
      <c r="H29" s="32"/>
      <c r="I29" s="32"/>
      <c r="J29" s="32"/>
      <c r="L29" s="32"/>
      <c r="M29" s="32"/>
      <c r="N29" s="32"/>
      <c r="O29" s="32"/>
      <c r="P29" s="31"/>
      <c r="Q29" s="2"/>
      <c r="R29" s="32"/>
      <c r="S29" s="32"/>
      <c r="T29" s="32"/>
      <c r="U29" s="32"/>
      <c r="V29" s="32"/>
      <c r="W29" s="33"/>
      <c r="X29" s="32"/>
      <c r="Y29" s="32"/>
      <c r="Z29" s="32"/>
      <c r="AA29" s="32"/>
      <c r="AB29" s="32"/>
      <c r="AC29" s="32"/>
      <c r="AD29" s="32"/>
      <c r="AJ29" s="118"/>
    </row>
    <row r="30" spans="1:40" ht="19" customHeight="1">
      <c r="A30" s="138" t="s">
        <v>1</v>
      </c>
      <c r="B30" s="53"/>
      <c r="C30" s="1298" t="s">
        <v>126</v>
      </c>
      <c r="D30" s="895" t="s">
        <v>103</v>
      </c>
      <c r="E30" s="1024"/>
      <c r="F30" s="54" t="s">
        <v>1</v>
      </c>
      <c r="G30" s="248" t="str">
        <f>IF('Aufgebot 30'!$G$34&gt;0,1,"")</f>
        <v/>
      </c>
      <c r="H30" s="249" t="str">
        <f>IF('Aufgebot 30'!$G$34&gt;0,2,"")</f>
        <v/>
      </c>
      <c r="I30" s="249" t="str">
        <f>IF('Aufgebot 30'!$G$34=3,3,"")</f>
        <v/>
      </c>
      <c r="J30" s="90"/>
      <c r="K30" s="91"/>
      <c r="L30" s="89"/>
      <c r="M30" s="90"/>
      <c r="N30" s="90"/>
      <c r="O30" s="90"/>
      <c r="P30" s="92"/>
      <c r="Q30" s="93"/>
      <c r="R30" s="90"/>
      <c r="S30" s="90"/>
      <c r="T30" s="90"/>
      <c r="U30" s="90"/>
      <c r="V30" s="91"/>
      <c r="W30" s="89"/>
      <c r="X30" s="90"/>
      <c r="Y30" s="90"/>
      <c r="Z30" s="90"/>
      <c r="AA30" s="92"/>
      <c r="AB30" s="93"/>
      <c r="AC30" s="90"/>
      <c r="AD30" s="90"/>
      <c r="AE30" s="90"/>
      <c r="AF30" s="91"/>
      <c r="AG30" s="89"/>
      <c r="AH30" s="90"/>
      <c r="AI30" s="90"/>
      <c r="AJ30" s="92"/>
    </row>
    <row r="31" spans="1:40" ht="19" customHeight="1" thickBot="1">
      <c r="A31" s="139" t="s">
        <v>2</v>
      </c>
      <c r="B31" s="55"/>
      <c r="C31" s="1299"/>
      <c r="D31" s="896"/>
      <c r="E31" s="947"/>
      <c r="F31" s="56" t="s">
        <v>2</v>
      </c>
      <c r="G31" s="250"/>
      <c r="H31" s="251"/>
      <c r="I31" s="251"/>
      <c r="J31" s="95"/>
      <c r="K31" s="96"/>
      <c r="L31" s="94"/>
      <c r="M31" s="95"/>
      <c r="N31" s="95"/>
      <c r="O31" s="95"/>
      <c r="P31" s="97"/>
      <c r="Q31" s="98"/>
      <c r="R31" s="95"/>
      <c r="S31" s="95"/>
      <c r="T31" s="95"/>
      <c r="U31" s="95"/>
      <c r="V31" s="96"/>
      <c r="W31" s="94"/>
      <c r="X31" s="95"/>
      <c r="Y31" s="95"/>
      <c r="Z31" s="95"/>
      <c r="AA31" s="97"/>
      <c r="AB31" s="98"/>
      <c r="AC31" s="95"/>
      <c r="AD31" s="95"/>
      <c r="AE31" s="95"/>
      <c r="AF31" s="96"/>
      <c r="AG31" s="94"/>
      <c r="AH31" s="95"/>
      <c r="AI31" s="95"/>
      <c r="AJ31" s="97"/>
    </row>
    <row r="32" spans="1:40" ht="19" customHeight="1">
      <c r="A32" s="138" t="s">
        <v>1</v>
      </c>
      <c r="B32" s="224"/>
      <c r="C32" s="1301" t="s">
        <v>126</v>
      </c>
      <c r="D32" s="895" t="s">
        <v>102</v>
      </c>
      <c r="E32" s="1024"/>
      <c r="F32" s="54" t="s">
        <v>1</v>
      </c>
      <c r="G32" s="248" t="str">
        <f>G30</f>
        <v/>
      </c>
      <c r="H32" s="249" t="str">
        <f>H30</f>
        <v/>
      </c>
      <c r="I32" s="249" t="str">
        <f>I30</f>
        <v/>
      </c>
      <c r="J32" s="100"/>
      <c r="K32" s="101"/>
      <c r="L32" s="99"/>
      <c r="M32" s="100"/>
      <c r="N32" s="100"/>
      <c r="O32" s="100"/>
      <c r="P32" s="102"/>
      <c r="Q32" s="103"/>
      <c r="R32" s="100"/>
      <c r="S32" s="100"/>
      <c r="T32" s="100"/>
      <c r="U32" s="100"/>
      <c r="V32" s="101"/>
      <c r="W32" s="99"/>
      <c r="X32" s="100"/>
      <c r="Y32" s="100"/>
      <c r="Z32" s="100"/>
      <c r="AA32" s="102"/>
      <c r="AB32" s="103"/>
      <c r="AC32" s="100"/>
      <c r="AD32" s="100"/>
      <c r="AE32" s="100"/>
      <c r="AF32" s="101"/>
      <c r="AG32" s="99"/>
      <c r="AH32" s="100"/>
      <c r="AI32" s="100"/>
      <c r="AJ32" s="102"/>
    </row>
    <row r="33" spans="1:36" ht="19" customHeight="1" thickBot="1">
      <c r="A33" s="140" t="s">
        <v>2</v>
      </c>
      <c r="B33" s="225"/>
      <c r="C33" s="1302"/>
      <c r="D33" s="908"/>
      <c r="E33" s="1294"/>
      <c r="F33" s="57" t="s">
        <v>2</v>
      </c>
      <c r="G33" s="252"/>
      <c r="H33" s="253"/>
      <c r="I33" s="253"/>
      <c r="J33" s="105"/>
      <c r="K33" s="106"/>
      <c r="L33" s="104"/>
      <c r="M33" s="105"/>
      <c r="N33" s="105"/>
      <c r="O33" s="105"/>
      <c r="P33" s="107"/>
      <c r="Q33" s="108"/>
      <c r="R33" s="105"/>
      <c r="S33" s="105"/>
      <c r="T33" s="105"/>
      <c r="U33" s="105"/>
      <c r="V33" s="106"/>
      <c r="W33" s="104"/>
      <c r="X33" s="105"/>
      <c r="Y33" s="105"/>
      <c r="Z33" s="105"/>
      <c r="AA33" s="107"/>
      <c r="AB33" s="108"/>
      <c r="AC33" s="105"/>
      <c r="AD33" s="105"/>
      <c r="AE33" s="105"/>
      <c r="AF33" s="106"/>
      <c r="AG33" s="104"/>
      <c r="AH33" s="105"/>
      <c r="AI33" s="105"/>
      <c r="AJ33" s="107"/>
    </row>
    <row r="34" spans="1:36" ht="19" customHeight="1">
      <c r="A34" s="141" t="s">
        <v>1</v>
      </c>
      <c r="B34" s="229"/>
      <c r="C34" s="1311" t="s">
        <v>126</v>
      </c>
      <c r="D34" s="896" t="s">
        <v>101</v>
      </c>
      <c r="E34" s="947"/>
      <c r="F34" s="58" t="s">
        <v>1</v>
      </c>
      <c r="G34" s="248" t="str">
        <f>G32</f>
        <v/>
      </c>
      <c r="H34" s="249" t="str">
        <f>H32</f>
        <v/>
      </c>
      <c r="I34" s="249" t="str">
        <f>I32</f>
        <v/>
      </c>
      <c r="J34" s="90"/>
      <c r="K34" s="91"/>
      <c r="L34" s="89"/>
      <c r="M34" s="90"/>
      <c r="N34" s="90"/>
      <c r="O34" s="90"/>
      <c r="P34" s="92"/>
      <c r="Q34" s="93"/>
      <c r="R34" s="90"/>
      <c r="S34" s="90"/>
      <c r="T34" s="90"/>
      <c r="U34" s="90"/>
      <c r="V34" s="91"/>
      <c r="W34" s="89"/>
      <c r="X34" s="90"/>
      <c r="Y34" s="90"/>
      <c r="Z34" s="90"/>
      <c r="AA34" s="92"/>
      <c r="AB34" s="93"/>
      <c r="AC34" s="90"/>
      <c r="AD34" s="90"/>
      <c r="AE34" s="90"/>
      <c r="AF34" s="91"/>
      <c r="AG34" s="89"/>
      <c r="AH34" s="90"/>
      <c r="AI34" s="90"/>
      <c r="AJ34" s="92"/>
    </row>
    <row r="35" spans="1:36" ht="19" customHeight="1" thickBot="1">
      <c r="A35" s="139" t="s">
        <v>2</v>
      </c>
      <c r="B35" s="229"/>
      <c r="C35" s="1311"/>
      <c r="D35" s="896"/>
      <c r="E35" s="947"/>
      <c r="F35" s="56" t="s">
        <v>2</v>
      </c>
      <c r="G35" s="250"/>
      <c r="H35" s="251"/>
      <c r="I35" s="251"/>
      <c r="J35" s="95"/>
      <c r="K35" s="96"/>
      <c r="L35" s="94"/>
      <c r="M35" s="95"/>
      <c r="N35" s="95"/>
      <c r="O35" s="95"/>
      <c r="P35" s="97"/>
      <c r="Q35" s="98"/>
      <c r="R35" s="95"/>
      <c r="S35" s="95"/>
      <c r="T35" s="95"/>
      <c r="U35" s="95"/>
      <c r="V35" s="96"/>
      <c r="W35" s="94"/>
      <c r="X35" s="95"/>
      <c r="Y35" s="95"/>
      <c r="Z35" s="95"/>
      <c r="AA35" s="97"/>
      <c r="AB35" s="98"/>
      <c r="AC35" s="95"/>
      <c r="AD35" s="95"/>
      <c r="AE35" s="95"/>
      <c r="AF35" s="96"/>
      <c r="AG35" s="94"/>
      <c r="AH35" s="95"/>
      <c r="AI35" s="95"/>
      <c r="AJ35" s="97"/>
    </row>
    <row r="36" spans="1:36" ht="19" customHeight="1">
      <c r="A36" s="138" t="s">
        <v>1</v>
      </c>
      <c r="B36" s="224"/>
      <c r="C36" s="1301" t="s">
        <v>126</v>
      </c>
      <c r="D36" s="895" t="s">
        <v>100</v>
      </c>
      <c r="E36" s="1024"/>
      <c r="F36" s="54" t="s">
        <v>1</v>
      </c>
      <c r="G36" s="248" t="str">
        <f>G34</f>
        <v/>
      </c>
      <c r="H36" s="249" t="str">
        <f>H34</f>
        <v/>
      </c>
      <c r="I36" s="249" t="str">
        <f>I34</f>
        <v/>
      </c>
      <c r="J36" s="100"/>
      <c r="K36" s="101"/>
      <c r="L36" s="99"/>
      <c r="M36" s="100"/>
      <c r="N36" s="100"/>
      <c r="O36" s="100"/>
      <c r="P36" s="102"/>
      <c r="Q36" s="103"/>
      <c r="R36" s="100"/>
      <c r="S36" s="100"/>
      <c r="T36" s="100"/>
      <c r="U36" s="100"/>
      <c r="V36" s="101"/>
      <c r="W36" s="99"/>
      <c r="X36" s="100"/>
      <c r="Y36" s="100"/>
      <c r="Z36" s="100"/>
      <c r="AA36" s="102"/>
      <c r="AB36" s="103"/>
      <c r="AC36" s="100"/>
      <c r="AD36" s="100"/>
      <c r="AE36" s="100"/>
      <c r="AF36" s="101"/>
      <c r="AG36" s="99"/>
      <c r="AH36" s="100"/>
      <c r="AI36" s="100"/>
      <c r="AJ36" s="102"/>
    </row>
    <row r="37" spans="1:36" ht="19" customHeight="1" thickBot="1">
      <c r="A37" s="140" t="s">
        <v>2</v>
      </c>
      <c r="B37" s="225"/>
      <c r="C37" s="1302"/>
      <c r="D37" s="908"/>
      <c r="E37" s="1294"/>
      <c r="F37" s="57" t="s">
        <v>2</v>
      </c>
      <c r="G37" s="250"/>
      <c r="H37" s="251"/>
      <c r="I37" s="251"/>
      <c r="J37" s="95"/>
      <c r="K37" s="96"/>
      <c r="L37" s="94"/>
      <c r="M37" s="95"/>
      <c r="N37" s="95"/>
      <c r="O37" s="95"/>
      <c r="P37" s="97"/>
      <c r="Q37" s="98"/>
      <c r="R37" s="95"/>
      <c r="S37" s="95"/>
      <c r="T37" s="95"/>
      <c r="U37" s="95"/>
      <c r="V37" s="96"/>
      <c r="W37" s="94"/>
      <c r="X37" s="95"/>
      <c r="Y37" s="95"/>
      <c r="Z37" s="95"/>
      <c r="AA37" s="97"/>
      <c r="AB37" s="98"/>
      <c r="AC37" s="95"/>
      <c r="AD37" s="95"/>
      <c r="AE37" s="95"/>
      <c r="AF37" s="96"/>
      <c r="AG37" s="94"/>
      <c r="AH37" s="95"/>
      <c r="AI37" s="95"/>
      <c r="AJ37" s="97"/>
    </row>
    <row r="38" spans="1:36" s="61" customFormat="1" ht="7" customHeight="1" thickBot="1">
      <c r="A38" s="142"/>
      <c r="B38" s="59"/>
      <c r="C38" s="59"/>
      <c r="D38" s="59"/>
      <c r="E38" s="60"/>
      <c r="F38" s="60"/>
      <c r="G38" s="254"/>
      <c r="H38" s="254"/>
      <c r="I38" s="254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43"/>
    </row>
    <row r="39" spans="1:36" ht="19" customHeight="1">
      <c r="A39" s="138" t="s">
        <v>1</v>
      </c>
      <c r="B39" s="224"/>
      <c r="C39" s="1301" t="s">
        <v>126</v>
      </c>
      <c r="D39" s="895" t="s">
        <v>99</v>
      </c>
      <c r="E39" s="1024"/>
      <c r="F39" s="62" t="s">
        <v>1</v>
      </c>
      <c r="G39" s="248" t="str">
        <f>G36</f>
        <v/>
      </c>
      <c r="H39" s="249" t="str">
        <f>H36</f>
        <v/>
      </c>
      <c r="I39" s="249" t="str">
        <f>I36</f>
        <v/>
      </c>
      <c r="J39" s="90"/>
      <c r="K39" s="91"/>
      <c r="L39" s="89"/>
      <c r="M39" s="90"/>
      <c r="N39" s="90"/>
      <c r="O39" s="90"/>
      <c r="P39" s="92"/>
      <c r="Q39" s="93"/>
      <c r="R39" s="90"/>
      <c r="S39" s="90"/>
      <c r="T39" s="90"/>
      <c r="U39" s="90"/>
      <c r="V39" s="91"/>
      <c r="W39" s="89"/>
      <c r="X39" s="90"/>
      <c r="Y39" s="90"/>
      <c r="Z39" s="90"/>
      <c r="AA39" s="92"/>
      <c r="AB39" s="93"/>
      <c r="AC39" s="90"/>
      <c r="AD39" s="90"/>
      <c r="AE39" s="90"/>
      <c r="AF39" s="91"/>
      <c r="AG39" s="89"/>
      <c r="AH39" s="90"/>
      <c r="AI39" s="90"/>
      <c r="AJ39" s="92"/>
    </row>
    <row r="40" spans="1:36" ht="19" customHeight="1" thickBot="1">
      <c r="A40" s="139" t="s">
        <v>2</v>
      </c>
      <c r="B40" s="229"/>
      <c r="C40" s="1311"/>
      <c r="D40" s="896"/>
      <c r="E40" s="947"/>
      <c r="F40" s="56" t="s">
        <v>2</v>
      </c>
      <c r="G40" s="250"/>
      <c r="H40" s="251"/>
      <c r="I40" s="251"/>
      <c r="J40" s="95"/>
      <c r="K40" s="96"/>
      <c r="L40" s="94"/>
      <c r="M40" s="95"/>
      <c r="N40" s="95"/>
      <c r="O40" s="95"/>
      <c r="P40" s="97"/>
      <c r="Q40" s="98"/>
      <c r="R40" s="95"/>
      <c r="S40" s="95"/>
      <c r="T40" s="95"/>
      <c r="U40" s="95"/>
      <c r="V40" s="96"/>
      <c r="W40" s="94"/>
      <c r="X40" s="95"/>
      <c r="Y40" s="95"/>
      <c r="Z40" s="95"/>
      <c r="AA40" s="97"/>
      <c r="AB40" s="98"/>
      <c r="AC40" s="95"/>
      <c r="AD40" s="95"/>
      <c r="AE40" s="95"/>
      <c r="AF40" s="96"/>
      <c r="AG40" s="94"/>
      <c r="AH40" s="95"/>
      <c r="AI40" s="95"/>
      <c r="AJ40" s="97"/>
    </row>
    <row r="41" spans="1:36" ht="19" customHeight="1">
      <c r="A41" s="138" t="s">
        <v>1</v>
      </c>
      <c r="B41" s="224"/>
      <c r="C41" s="1301" t="s">
        <v>126</v>
      </c>
      <c r="D41" s="895" t="s">
        <v>98</v>
      </c>
      <c r="E41" s="1024"/>
      <c r="F41" s="54" t="s">
        <v>1</v>
      </c>
      <c r="G41" s="248" t="str">
        <f>G39</f>
        <v/>
      </c>
      <c r="H41" s="249" t="str">
        <f>H39</f>
        <v/>
      </c>
      <c r="I41" s="249" t="str">
        <f>I39</f>
        <v/>
      </c>
      <c r="J41" s="100"/>
      <c r="K41" s="101"/>
      <c r="L41" s="99"/>
      <c r="M41" s="100"/>
      <c r="N41" s="100"/>
      <c r="O41" s="100"/>
      <c r="P41" s="102"/>
      <c r="Q41" s="103"/>
      <c r="R41" s="100"/>
      <c r="S41" s="100"/>
      <c r="T41" s="100"/>
      <c r="U41" s="100"/>
      <c r="V41" s="101"/>
      <c r="W41" s="99"/>
      <c r="X41" s="100"/>
      <c r="Y41" s="100"/>
      <c r="Z41" s="100"/>
      <c r="AA41" s="102"/>
      <c r="AB41" s="103"/>
      <c r="AC41" s="100"/>
      <c r="AD41" s="100"/>
      <c r="AE41" s="100"/>
      <c r="AF41" s="101"/>
      <c r="AG41" s="99"/>
      <c r="AH41" s="100"/>
      <c r="AI41" s="100"/>
      <c r="AJ41" s="102"/>
    </row>
    <row r="42" spans="1:36" ht="19" customHeight="1" thickBot="1">
      <c r="A42" s="140" t="s">
        <v>2</v>
      </c>
      <c r="B42" s="225"/>
      <c r="C42" s="1302"/>
      <c r="D42" s="908"/>
      <c r="E42" s="1294"/>
      <c r="F42" s="57" t="s">
        <v>2</v>
      </c>
      <c r="G42" s="252"/>
      <c r="H42" s="253"/>
      <c r="I42" s="253"/>
      <c r="J42" s="105"/>
      <c r="K42" s="106"/>
      <c r="L42" s="104"/>
      <c r="M42" s="105"/>
      <c r="N42" s="105"/>
      <c r="O42" s="105"/>
      <c r="P42" s="107"/>
      <c r="Q42" s="108"/>
      <c r="R42" s="105"/>
      <c r="S42" s="105"/>
      <c r="T42" s="105"/>
      <c r="U42" s="105"/>
      <c r="V42" s="106"/>
      <c r="W42" s="104"/>
      <c r="X42" s="105"/>
      <c r="Y42" s="105"/>
      <c r="Z42" s="105"/>
      <c r="AA42" s="107"/>
      <c r="AB42" s="108"/>
      <c r="AC42" s="105"/>
      <c r="AD42" s="105"/>
      <c r="AE42" s="105"/>
      <c r="AF42" s="106"/>
      <c r="AG42" s="104"/>
      <c r="AH42" s="105"/>
      <c r="AI42" s="105"/>
      <c r="AJ42" s="107"/>
    </row>
    <row r="43" spans="1:36" ht="19" customHeight="1">
      <c r="A43" s="141" t="s">
        <v>1</v>
      </c>
      <c r="B43" s="229"/>
      <c r="C43" s="1311" t="s">
        <v>126</v>
      </c>
      <c r="D43" s="896" t="s">
        <v>97</v>
      </c>
      <c r="E43" s="947"/>
      <c r="F43" s="58" t="s">
        <v>1</v>
      </c>
      <c r="G43" s="248" t="str">
        <f>G41</f>
        <v/>
      </c>
      <c r="H43" s="249" t="str">
        <f>H41</f>
        <v/>
      </c>
      <c r="I43" s="249" t="str">
        <f>I41</f>
        <v/>
      </c>
      <c r="J43" s="90"/>
      <c r="K43" s="91"/>
      <c r="L43" s="89"/>
      <c r="M43" s="90"/>
      <c r="N43" s="90"/>
      <c r="O43" s="90"/>
      <c r="P43" s="92"/>
      <c r="Q43" s="93"/>
      <c r="R43" s="90"/>
      <c r="S43" s="90"/>
      <c r="T43" s="90"/>
      <c r="U43" s="90"/>
      <c r="V43" s="91"/>
      <c r="W43" s="89"/>
      <c r="X43" s="90"/>
      <c r="Y43" s="90"/>
      <c r="Z43" s="90"/>
      <c r="AA43" s="92"/>
      <c r="AB43" s="93"/>
      <c r="AC43" s="90"/>
      <c r="AD43" s="90"/>
      <c r="AE43" s="90"/>
      <c r="AF43" s="91"/>
      <c r="AG43" s="89"/>
      <c r="AH43" s="90"/>
      <c r="AI43" s="90"/>
      <c r="AJ43" s="92"/>
    </row>
    <row r="44" spans="1:36" ht="19" customHeight="1" thickBot="1">
      <c r="A44" s="139" t="s">
        <v>2</v>
      </c>
      <c r="B44" s="229"/>
      <c r="C44" s="1311"/>
      <c r="D44" s="896"/>
      <c r="E44" s="947"/>
      <c r="F44" s="56" t="s">
        <v>2</v>
      </c>
      <c r="G44" s="250"/>
      <c r="H44" s="251"/>
      <c r="I44" s="251"/>
      <c r="J44" s="95"/>
      <c r="K44" s="96"/>
      <c r="L44" s="94"/>
      <c r="M44" s="95"/>
      <c r="N44" s="95"/>
      <c r="O44" s="95"/>
      <c r="P44" s="97"/>
      <c r="Q44" s="98"/>
      <c r="R44" s="95"/>
      <c r="S44" s="95"/>
      <c r="T44" s="95"/>
      <c r="U44" s="95"/>
      <c r="V44" s="96"/>
      <c r="W44" s="94"/>
      <c r="X44" s="95"/>
      <c r="Y44" s="95"/>
      <c r="Z44" s="95"/>
      <c r="AA44" s="97"/>
      <c r="AB44" s="98"/>
      <c r="AC44" s="95"/>
      <c r="AD44" s="95"/>
      <c r="AE44" s="95"/>
      <c r="AF44" s="96"/>
      <c r="AG44" s="94"/>
      <c r="AH44" s="95"/>
      <c r="AI44" s="95"/>
      <c r="AJ44" s="97"/>
    </row>
    <row r="45" spans="1:36" ht="19" customHeight="1">
      <c r="A45" s="138" t="s">
        <v>1</v>
      </c>
      <c r="B45" s="224"/>
      <c r="C45" s="1301" t="s">
        <v>126</v>
      </c>
      <c r="D45" s="895" t="s">
        <v>96</v>
      </c>
      <c r="E45" s="1024"/>
      <c r="F45" s="54" t="s">
        <v>1</v>
      </c>
      <c r="G45" s="248" t="str">
        <f>G43</f>
        <v/>
      </c>
      <c r="H45" s="249" t="str">
        <f>H43</f>
        <v/>
      </c>
      <c r="I45" s="249" t="str">
        <f>I43</f>
        <v/>
      </c>
      <c r="J45" s="100"/>
      <c r="K45" s="101"/>
      <c r="L45" s="99"/>
      <c r="M45" s="100"/>
      <c r="N45" s="100"/>
      <c r="O45" s="100"/>
      <c r="P45" s="102"/>
      <c r="Q45" s="103"/>
      <c r="R45" s="100"/>
      <c r="S45" s="100"/>
      <c r="T45" s="100"/>
      <c r="U45" s="100"/>
      <c r="V45" s="101"/>
      <c r="W45" s="99"/>
      <c r="X45" s="100"/>
      <c r="Y45" s="100"/>
      <c r="Z45" s="100"/>
      <c r="AA45" s="102"/>
      <c r="AB45" s="103"/>
      <c r="AC45" s="100"/>
      <c r="AD45" s="100"/>
      <c r="AE45" s="100"/>
      <c r="AF45" s="101"/>
      <c r="AG45" s="99"/>
      <c r="AH45" s="100"/>
      <c r="AI45" s="100"/>
      <c r="AJ45" s="102"/>
    </row>
    <row r="46" spans="1:36" ht="19" customHeight="1" thickBot="1">
      <c r="A46" s="140" t="s">
        <v>2</v>
      </c>
      <c r="B46" s="225"/>
      <c r="C46" s="1302"/>
      <c r="D46" s="908"/>
      <c r="E46" s="1294"/>
      <c r="F46" s="57" t="s">
        <v>2</v>
      </c>
      <c r="G46" s="250"/>
      <c r="H46" s="251"/>
      <c r="I46" s="251"/>
      <c r="J46" s="95"/>
      <c r="K46" s="96"/>
      <c r="L46" s="94"/>
      <c r="M46" s="95"/>
      <c r="N46" s="95"/>
      <c r="O46" s="95"/>
      <c r="P46" s="97"/>
      <c r="Q46" s="98"/>
      <c r="R46" s="95"/>
      <c r="S46" s="95"/>
      <c r="T46" s="95"/>
      <c r="U46" s="95"/>
      <c r="V46" s="96"/>
      <c r="W46" s="94"/>
      <c r="X46" s="95"/>
      <c r="Y46" s="95"/>
      <c r="Z46" s="95"/>
      <c r="AA46" s="97"/>
      <c r="AB46" s="98"/>
      <c r="AC46" s="95"/>
      <c r="AD46" s="95"/>
      <c r="AE46" s="95"/>
      <c r="AF46" s="96"/>
      <c r="AG46" s="94"/>
      <c r="AH46" s="95"/>
      <c r="AI46" s="95"/>
      <c r="AJ46" s="97"/>
    </row>
    <row r="47" spans="1:36" s="15" customFormat="1" ht="8.15" customHeight="1" thickBot="1">
      <c r="A47" s="144"/>
      <c r="B47" s="43"/>
      <c r="C47" s="14"/>
      <c r="D47" s="63"/>
      <c r="E47" s="63"/>
      <c r="F47" s="14"/>
      <c r="G47" s="254"/>
      <c r="H47" s="254"/>
      <c r="I47" s="25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1"/>
      <c r="AH47" s="111"/>
      <c r="AI47" s="111"/>
      <c r="AJ47" s="145"/>
    </row>
    <row r="48" spans="1:36" ht="19" customHeight="1">
      <c r="A48" s="138" t="s">
        <v>1</v>
      </c>
      <c r="B48" s="224"/>
      <c r="C48" s="1301" t="s">
        <v>126</v>
      </c>
      <c r="D48" s="895" t="s">
        <v>95</v>
      </c>
      <c r="E48" s="1024"/>
      <c r="F48" s="54" t="s">
        <v>1</v>
      </c>
      <c r="G48" s="248" t="str">
        <f>G45</f>
        <v/>
      </c>
      <c r="H48" s="249" t="str">
        <f>H45</f>
        <v/>
      </c>
      <c r="I48" s="249" t="str">
        <f>I45</f>
        <v/>
      </c>
      <c r="J48" s="90"/>
      <c r="K48" s="91"/>
      <c r="L48" s="89"/>
      <c r="M48" s="90"/>
      <c r="N48" s="90"/>
      <c r="O48" s="90"/>
      <c r="P48" s="92"/>
      <c r="Q48" s="93"/>
      <c r="R48" s="90"/>
      <c r="S48" s="90"/>
      <c r="T48" s="90"/>
      <c r="U48" s="90"/>
      <c r="V48" s="91"/>
      <c r="W48" s="89"/>
      <c r="X48" s="90"/>
      <c r="Y48" s="90"/>
      <c r="Z48" s="90"/>
      <c r="AA48" s="92"/>
      <c r="AB48" s="93"/>
      <c r="AC48" s="90"/>
      <c r="AD48" s="90"/>
      <c r="AE48" s="90"/>
      <c r="AF48" s="91"/>
      <c r="AG48" s="89"/>
      <c r="AH48" s="90"/>
      <c r="AI48" s="90"/>
      <c r="AJ48" s="92"/>
    </row>
    <row r="49" spans="1:36" ht="19" customHeight="1" thickBot="1">
      <c r="A49" s="140" t="s">
        <v>2</v>
      </c>
      <c r="B49" s="225"/>
      <c r="C49" s="1302"/>
      <c r="D49" s="908"/>
      <c r="E49" s="1294"/>
      <c r="F49" s="57" t="s">
        <v>2</v>
      </c>
      <c r="G49" s="250"/>
      <c r="H49" s="251"/>
      <c r="I49" s="251"/>
      <c r="J49" s="95"/>
      <c r="K49" s="96"/>
      <c r="L49" s="94"/>
      <c r="M49" s="95"/>
      <c r="N49" s="95"/>
      <c r="O49" s="95"/>
      <c r="P49" s="97"/>
      <c r="Q49" s="98"/>
      <c r="R49" s="95"/>
      <c r="S49" s="95"/>
      <c r="T49" s="95"/>
      <c r="U49" s="95"/>
      <c r="V49" s="96"/>
      <c r="W49" s="94"/>
      <c r="X49" s="95"/>
      <c r="Y49" s="95"/>
      <c r="Z49" s="95"/>
      <c r="AA49" s="97"/>
      <c r="AB49" s="98"/>
      <c r="AC49" s="95"/>
      <c r="AD49" s="95"/>
      <c r="AE49" s="95"/>
      <c r="AF49" s="96"/>
      <c r="AG49" s="94"/>
      <c r="AH49" s="95"/>
      <c r="AI49" s="95"/>
      <c r="AJ49" s="97"/>
    </row>
    <row r="50" spans="1:36" s="15" customFormat="1" ht="8.15" customHeight="1" thickBot="1">
      <c r="A50" s="144"/>
      <c r="B50" s="4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J50" s="120"/>
    </row>
    <row r="51" spans="1:36" s="42" customFormat="1" ht="16" customHeight="1">
      <c r="A51" s="1313" t="s">
        <v>127</v>
      </c>
      <c r="B51" s="1314"/>
      <c r="C51" s="1315"/>
      <c r="D51" s="1315"/>
      <c r="E51" s="1316"/>
      <c r="F51" s="64" t="s">
        <v>103</v>
      </c>
      <c r="G51" s="64"/>
      <c r="H51" s="65"/>
      <c r="I51" s="1312" t="s">
        <v>102</v>
      </c>
      <c r="J51" s="1290"/>
      <c r="K51" s="1291"/>
      <c r="L51" s="1289" t="s">
        <v>101</v>
      </c>
      <c r="M51" s="1290"/>
      <c r="N51" s="1291"/>
      <c r="O51" s="1289" t="s">
        <v>100</v>
      </c>
      <c r="P51" s="1290"/>
      <c r="Q51" s="1291"/>
      <c r="R51" s="1289" t="s">
        <v>99</v>
      </c>
      <c r="S51" s="1290"/>
      <c r="T51" s="1290"/>
      <c r="U51" s="1291"/>
      <c r="V51" s="1289" t="s">
        <v>98</v>
      </c>
      <c r="W51" s="1290"/>
      <c r="X51" s="1291"/>
      <c r="Y51" s="1289" t="s">
        <v>97</v>
      </c>
      <c r="Z51" s="1290"/>
      <c r="AA51" s="1290"/>
      <c r="AB51" s="1312" t="s">
        <v>96</v>
      </c>
      <c r="AC51" s="1290"/>
      <c r="AD51" s="1291"/>
      <c r="AE51" s="1289" t="s">
        <v>95</v>
      </c>
      <c r="AF51" s="1290"/>
      <c r="AG51" s="1291"/>
      <c r="AH51" s="1257"/>
      <c r="AI51" s="1257"/>
      <c r="AJ51" s="1258"/>
    </row>
    <row r="52" spans="1:36" ht="19" customHeight="1" thickBot="1">
      <c r="A52" s="1317"/>
      <c r="B52" s="1318"/>
      <c r="C52" s="1318"/>
      <c r="D52" s="1318"/>
      <c r="E52" s="1319"/>
      <c r="F52" s="66"/>
      <c r="G52" s="130" t="s">
        <v>3</v>
      </c>
      <c r="H52" s="131"/>
      <c r="I52" s="132"/>
      <c r="J52" s="130" t="s">
        <v>3</v>
      </c>
      <c r="K52" s="131"/>
      <c r="L52" s="132"/>
      <c r="M52" s="130" t="s">
        <v>3</v>
      </c>
      <c r="N52" s="131"/>
      <c r="O52" s="132"/>
      <c r="P52" s="130" t="s">
        <v>3</v>
      </c>
      <c r="Q52" s="131"/>
      <c r="R52" s="132"/>
      <c r="S52" s="130" t="s">
        <v>3</v>
      </c>
      <c r="T52" s="130"/>
      <c r="U52" s="131"/>
      <c r="V52" s="132"/>
      <c r="W52" s="130" t="s">
        <v>3</v>
      </c>
      <c r="X52" s="131"/>
      <c r="Y52" s="132"/>
      <c r="Z52" s="130" t="s">
        <v>3</v>
      </c>
      <c r="AA52" s="131"/>
      <c r="AB52" s="132"/>
      <c r="AC52" s="130" t="s">
        <v>3</v>
      </c>
      <c r="AD52" s="131"/>
      <c r="AE52" s="132"/>
      <c r="AF52" s="130" t="s">
        <v>3</v>
      </c>
      <c r="AG52" s="67"/>
      <c r="AH52" s="1259"/>
      <c r="AI52" s="1259"/>
      <c r="AJ52" s="1260"/>
    </row>
    <row r="53" spans="1:36" ht="19" customHeight="1">
      <c r="A53" s="1269" t="s">
        <v>94</v>
      </c>
      <c r="B53" s="1270"/>
      <c r="C53" s="1271"/>
      <c r="D53" s="1271"/>
      <c r="E53" s="1272"/>
      <c r="F53" s="68"/>
      <c r="G53" s="228"/>
      <c r="H53" s="69"/>
      <c r="I53" s="68"/>
      <c r="J53" s="228"/>
      <c r="K53" s="69"/>
      <c r="L53" s="68"/>
      <c r="M53" s="228"/>
      <c r="N53" s="69"/>
      <c r="O53" s="68"/>
      <c r="P53" s="228"/>
      <c r="Q53" s="69"/>
      <c r="R53" s="68"/>
      <c r="S53" s="228"/>
      <c r="T53" s="228"/>
      <c r="U53" s="69"/>
      <c r="V53" s="68"/>
      <c r="W53" s="228"/>
      <c r="X53" s="69"/>
      <c r="Y53" s="68"/>
      <c r="Z53" s="1282" t="s">
        <v>151</v>
      </c>
      <c r="AA53" s="1283"/>
      <c r="AB53" s="1283"/>
      <c r="AC53" s="1283"/>
      <c r="AD53" s="1284"/>
      <c r="AE53" s="1276" t="s">
        <v>128</v>
      </c>
      <c r="AF53" s="1277"/>
      <c r="AG53" s="1277"/>
      <c r="AH53" s="1277"/>
      <c r="AI53" s="1277"/>
      <c r="AJ53" s="1278"/>
    </row>
    <row r="54" spans="1:36" ht="19" customHeight="1" thickBot="1">
      <c r="A54" s="1273"/>
      <c r="B54" s="1274"/>
      <c r="C54" s="1274"/>
      <c r="D54" s="1274"/>
      <c r="E54" s="1275"/>
      <c r="F54" s="70"/>
      <c r="G54" s="71"/>
      <c r="H54" s="206"/>
      <c r="I54" s="70"/>
      <c r="J54" s="71"/>
      <c r="K54" s="206"/>
      <c r="L54" s="70"/>
      <c r="M54" s="71"/>
      <c r="N54" s="206"/>
      <c r="O54" s="70"/>
      <c r="P54" s="71"/>
      <c r="Q54" s="206"/>
      <c r="R54" s="70"/>
      <c r="S54" s="71"/>
      <c r="T54" s="71"/>
      <c r="U54" s="206"/>
      <c r="V54" s="70"/>
      <c r="W54" s="71"/>
      <c r="X54" s="206"/>
      <c r="Y54" s="70"/>
      <c r="Z54" s="1261" t="s">
        <v>3</v>
      </c>
      <c r="AA54" s="1262"/>
      <c r="AB54" s="1262"/>
      <c r="AC54" s="1262"/>
      <c r="AD54" s="1263"/>
      <c r="AE54" s="1279" t="s">
        <v>3</v>
      </c>
      <c r="AF54" s="1280"/>
      <c r="AG54" s="1280"/>
      <c r="AH54" s="1280"/>
      <c r="AI54" s="1280"/>
      <c r="AJ54" s="1281"/>
    </row>
    <row r="55" spans="1:36" ht="17.149999999999999" customHeight="1" thickBot="1">
      <c r="A55" s="1285" t="s">
        <v>129</v>
      </c>
      <c r="B55" s="1286"/>
      <c r="C55" s="1287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8"/>
    </row>
    <row r="56" spans="1:36" s="1" customFormat="1" ht="21" customHeight="1" thickBot="1">
      <c r="A56" s="1264" t="s">
        <v>117</v>
      </c>
      <c r="B56" s="1265"/>
      <c r="C56" s="1266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7"/>
      <c r="R56" s="1268" t="s">
        <v>130</v>
      </c>
      <c r="S56" s="1266"/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7"/>
    </row>
    <row r="57" spans="1:36" s="1" customFormat="1" ht="21" customHeight="1" thickBot="1">
      <c r="A57" s="1264" t="s">
        <v>131</v>
      </c>
      <c r="B57" s="1265"/>
      <c r="C57" s="1266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7"/>
      <c r="R57" s="1268" t="s">
        <v>132</v>
      </c>
      <c r="S57" s="1266"/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7"/>
    </row>
    <row r="58" spans="1:36" ht="14.25" customHeight="1">
      <c r="A58" s="1248" t="s">
        <v>246</v>
      </c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50"/>
      <c r="Y58" s="1239" t="s">
        <v>342</v>
      </c>
      <c r="Z58" s="1240"/>
      <c r="AA58" s="1240"/>
      <c r="AB58" s="1240"/>
      <c r="AC58" s="1240"/>
      <c r="AD58" s="1241"/>
      <c r="AE58" s="1230">
        <f ca="1">TODAY()</f>
        <v>45897</v>
      </c>
      <c r="AF58" s="1231"/>
      <c r="AG58" s="1231"/>
      <c r="AH58" s="1231"/>
      <c r="AI58" s="1231"/>
      <c r="AJ58" s="1232"/>
    </row>
    <row r="59" spans="1:36" ht="12.75" customHeight="1">
      <c r="A59" s="1251"/>
      <c r="B59" s="1252"/>
      <c r="C59" s="1252"/>
      <c r="D59" s="1252"/>
      <c r="E59" s="1252"/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3"/>
      <c r="Y59" s="1242"/>
      <c r="Z59" s="1243"/>
      <c r="AA59" s="1243"/>
      <c r="AB59" s="1243"/>
      <c r="AC59" s="1243"/>
      <c r="AD59" s="1244"/>
      <c r="AE59" s="1233"/>
      <c r="AF59" s="1234"/>
      <c r="AG59" s="1234"/>
      <c r="AH59" s="1234"/>
      <c r="AI59" s="1234"/>
      <c r="AJ59" s="1235"/>
    </row>
    <row r="60" spans="1:36" ht="18" customHeight="1">
      <c r="A60" s="1254"/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  <c r="N60" s="1255"/>
      <c r="O60" s="1255"/>
      <c r="P60" s="1255"/>
      <c r="Q60" s="1255"/>
      <c r="R60" s="1255"/>
      <c r="S60" s="1255"/>
      <c r="T60" s="1255"/>
      <c r="U60" s="1255"/>
      <c r="V60" s="1255"/>
      <c r="W60" s="1255"/>
      <c r="X60" s="1256"/>
      <c r="Y60" s="1245"/>
      <c r="Z60" s="1246"/>
      <c r="AA60" s="1246"/>
      <c r="AB60" s="1246"/>
      <c r="AC60" s="1246"/>
      <c r="AD60" s="1247"/>
      <c r="AE60" s="1236"/>
      <c r="AF60" s="1237"/>
      <c r="AG60" s="1237"/>
      <c r="AH60" s="1237"/>
      <c r="AI60" s="1237"/>
      <c r="AJ60" s="1238"/>
    </row>
  </sheetData>
  <mergeCells count="89">
    <mergeCell ref="G1:AJ2"/>
    <mergeCell ref="G4:AC4"/>
    <mergeCell ref="AD4:AJ4"/>
    <mergeCell ref="A6:D6"/>
    <mergeCell ref="E6:I6"/>
    <mergeCell ref="J6:K6"/>
    <mergeCell ref="L6:N6"/>
    <mergeCell ref="O6:R6"/>
    <mergeCell ref="S6:AC6"/>
    <mergeCell ref="AD6:AG6"/>
    <mergeCell ref="AH6:AJ6"/>
    <mergeCell ref="AJ8:AJ9"/>
    <mergeCell ref="F9:Q9"/>
    <mergeCell ref="X9:AI9"/>
    <mergeCell ref="F10:Q10"/>
    <mergeCell ref="X10:AI10"/>
    <mergeCell ref="A8:F8"/>
    <mergeCell ref="G8:Q8"/>
    <mergeCell ref="R8:R9"/>
    <mergeCell ref="S8:X8"/>
    <mergeCell ref="Y8:AI8"/>
    <mergeCell ref="F11:Q11"/>
    <mergeCell ref="X11:AI11"/>
    <mergeCell ref="F12:Q12"/>
    <mergeCell ref="X12:AI12"/>
    <mergeCell ref="F13:Q13"/>
    <mergeCell ref="X13:AI13"/>
    <mergeCell ref="F14:Q14"/>
    <mergeCell ref="X14:AI14"/>
    <mergeCell ref="F15:Q15"/>
    <mergeCell ref="X15:AI15"/>
    <mergeCell ref="F16:Q16"/>
    <mergeCell ref="X16:AI16"/>
    <mergeCell ref="F17:Q17"/>
    <mergeCell ref="X17:AI17"/>
    <mergeCell ref="F18:Q18"/>
    <mergeCell ref="X18:AI18"/>
    <mergeCell ref="C30:C31"/>
    <mergeCell ref="D30:E31"/>
    <mergeCell ref="F19:Q19"/>
    <mergeCell ref="X19:AI19"/>
    <mergeCell ref="S20:W20"/>
    <mergeCell ref="S21:W21"/>
    <mergeCell ref="G23:R23"/>
    <mergeCell ref="AB23:AJ23"/>
    <mergeCell ref="G24:R24"/>
    <mergeCell ref="S24:X24"/>
    <mergeCell ref="Y24:AJ24"/>
    <mergeCell ref="A26:F26"/>
    <mergeCell ref="N26:P26"/>
    <mergeCell ref="C32:C33"/>
    <mergeCell ref="D32:E33"/>
    <mergeCell ref="C34:C35"/>
    <mergeCell ref="D34:E35"/>
    <mergeCell ref="C36:C37"/>
    <mergeCell ref="D36:E37"/>
    <mergeCell ref="I51:K51"/>
    <mergeCell ref="C39:C40"/>
    <mergeCell ref="D39:E40"/>
    <mergeCell ref="C41:C42"/>
    <mergeCell ref="D41:E42"/>
    <mergeCell ref="C43:C44"/>
    <mergeCell ref="D43:E44"/>
    <mergeCell ref="C45:C46"/>
    <mergeCell ref="D45:E46"/>
    <mergeCell ref="C48:C49"/>
    <mergeCell ref="D48:E49"/>
    <mergeCell ref="A51:E52"/>
    <mergeCell ref="A58:X60"/>
    <mergeCell ref="Y58:AD60"/>
    <mergeCell ref="AE58:AJ60"/>
    <mergeCell ref="AE51:AG51"/>
    <mergeCell ref="AH51:AJ52"/>
    <mergeCell ref="A53:E54"/>
    <mergeCell ref="Z53:AD53"/>
    <mergeCell ref="AE53:AJ53"/>
    <mergeCell ref="Z54:AD54"/>
    <mergeCell ref="AE54:AJ54"/>
    <mergeCell ref="L51:N51"/>
    <mergeCell ref="O51:Q51"/>
    <mergeCell ref="R51:U51"/>
    <mergeCell ref="V51:X51"/>
    <mergeCell ref="Y51:AA51"/>
    <mergeCell ref="AB51:AD51"/>
    <mergeCell ref="A55:AJ55"/>
    <mergeCell ref="A56:Q56"/>
    <mergeCell ref="R56:AJ56"/>
    <mergeCell ref="A57:Q57"/>
    <mergeCell ref="R57:AJ57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Q53"/>
  <sheetViews>
    <sheetView workbookViewId="0"/>
  </sheetViews>
  <sheetFormatPr baseColWidth="10" defaultColWidth="11.36328125" defaultRowHeight="12.5"/>
  <cols>
    <col min="1" max="1" width="4.7265625" customWidth="1"/>
    <col min="2" max="2" width="0.81640625" customWidth="1"/>
    <col min="3" max="4" width="4.7265625" customWidth="1"/>
    <col min="5" max="5" width="0.81640625" customWidth="1"/>
    <col min="6" max="7" width="4.7265625" customWidth="1"/>
    <col min="8" max="8" width="0.81640625" customWidth="1"/>
    <col min="9" max="10" width="4.7265625" customWidth="1"/>
    <col min="11" max="11" width="0.81640625" customWidth="1"/>
    <col min="12" max="13" width="4.7265625" customWidth="1"/>
    <col min="14" max="14" width="0.81640625" customWidth="1"/>
    <col min="15" max="16" width="4.7265625" customWidth="1"/>
    <col min="17" max="17" width="0.81640625" customWidth="1"/>
    <col min="18" max="19" width="4.7265625" customWidth="1"/>
    <col min="20" max="20" width="0.81640625" customWidth="1"/>
    <col min="21" max="22" width="4.7265625" customWidth="1"/>
    <col min="23" max="23" width="0.81640625" customWidth="1"/>
    <col min="24" max="25" width="4.7265625" customWidth="1"/>
    <col min="26" max="26" width="0.81640625" customWidth="1"/>
    <col min="27" max="27" width="5.26953125" customWidth="1"/>
    <col min="29" max="29" width="10.81640625" customWidth="1"/>
    <col min="30" max="30" width="11.1796875" customWidth="1"/>
    <col min="31" max="31" width="7.90625" customWidth="1"/>
    <col min="32" max="32" width="11.36328125" customWidth="1"/>
  </cols>
  <sheetData>
    <row r="1" spans="1:33" ht="25">
      <c r="C1" s="152"/>
      <c r="D1" s="152"/>
      <c r="E1" s="1204" t="str">
        <f>Eigaben!Z3</f>
        <v>37. Schweizer Cup Männer 2025</v>
      </c>
      <c r="F1" s="1204"/>
      <c r="G1" s="1204"/>
      <c r="H1" s="1204"/>
      <c r="I1" s="1204"/>
      <c r="J1" s="1204"/>
      <c r="K1" s="1204"/>
      <c r="L1" s="1204"/>
      <c r="M1" s="1204"/>
      <c r="N1" s="1204"/>
      <c r="O1" s="1204"/>
      <c r="P1" s="1204"/>
      <c r="Q1" s="1204"/>
      <c r="R1" s="1204"/>
      <c r="S1" s="1204"/>
      <c r="T1" s="1204"/>
      <c r="U1" s="1204"/>
      <c r="V1" s="1204"/>
      <c r="W1" s="152"/>
      <c r="X1" s="152"/>
    </row>
    <row r="2" spans="1:33" ht="12.75" customHeight="1" thickBot="1">
      <c r="A2" s="550">
        <v>6</v>
      </c>
      <c r="B2" s="551"/>
      <c r="C2" s="551"/>
      <c r="D2" s="551"/>
      <c r="E2" s="551"/>
      <c r="F2" s="552">
        <v>7</v>
      </c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</row>
    <row r="3" spans="1:33" ht="20.5" thickTop="1">
      <c r="A3" s="1143" t="s">
        <v>237</v>
      </c>
      <c r="B3" s="1144"/>
      <c r="C3" s="1144"/>
      <c r="D3" s="1144"/>
      <c r="E3" s="1144"/>
      <c r="F3" s="1144"/>
      <c r="G3" s="1144"/>
      <c r="H3" s="1144"/>
      <c r="I3" s="1144"/>
      <c r="J3" s="1144"/>
      <c r="K3" s="1144"/>
      <c r="L3" s="1144"/>
      <c r="M3" s="1144"/>
      <c r="N3" s="1144"/>
      <c r="O3" s="1144"/>
      <c r="P3" s="1144"/>
      <c r="Q3" s="1144"/>
      <c r="R3" s="1144"/>
      <c r="S3" s="1144"/>
      <c r="T3" s="1144"/>
      <c r="U3" s="1144"/>
      <c r="V3" s="1144"/>
      <c r="W3" s="1144"/>
      <c r="X3" s="1144"/>
      <c r="Y3" s="1144"/>
      <c r="Z3" s="1144"/>
      <c r="AA3" s="1145"/>
      <c r="AB3" s="156"/>
      <c r="AC3" s="865"/>
      <c r="AD3" s="865"/>
      <c r="AE3" s="865"/>
      <c r="AF3" s="183"/>
    </row>
    <row r="4" spans="1:33" ht="3.75" customHeight="1">
      <c r="A4" s="553"/>
      <c r="O4" s="153"/>
      <c r="AA4" s="554"/>
    </row>
    <row r="5" spans="1:33" ht="19.5" customHeight="1">
      <c r="A5" s="1435" t="s">
        <v>161</v>
      </c>
      <c r="B5" s="1436"/>
      <c r="C5" s="1436"/>
      <c r="D5" s="1436"/>
      <c r="E5" s="1436"/>
      <c r="F5" s="1372">
        <f>VLOOKUP($A$2,Eigaben!$Y$8:$AB$14,2,1)</f>
        <v>45920</v>
      </c>
      <c r="G5" s="1373"/>
      <c r="H5" s="1373"/>
      <c r="I5" s="1373"/>
      <c r="J5" s="1373"/>
      <c r="K5" s="1373"/>
      <c r="L5" s="1372" t="s">
        <v>651</v>
      </c>
      <c r="M5" s="1373"/>
      <c r="N5" s="1375"/>
      <c r="O5" s="1212">
        <f>VLOOKUP($F$2,Eigaben!$Y$8:$AB$14,2,1)</f>
        <v>45927</v>
      </c>
      <c r="P5" s="1212"/>
      <c r="Q5" s="1212"/>
      <c r="R5" s="1212"/>
      <c r="S5" s="1212"/>
      <c r="T5" s="1213"/>
      <c r="U5" s="1436" t="s">
        <v>155</v>
      </c>
      <c r="V5" s="1436"/>
      <c r="W5" s="1436"/>
      <c r="X5" s="1436"/>
      <c r="Y5" s="1436">
        <v>31</v>
      </c>
      <c r="Z5" s="1436"/>
      <c r="AA5" s="1437"/>
      <c r="AC5" s="156"/>
      <c r="AD5" s="330"/>
      <c r="AE5" s="172"/>
    </row>
    <row r="6" spans="1:33" ht="9" customHeight="1" thickBot="1">
      <c r="A6" s="619">
        <f>Eigaben!F83</f>
        <v>64</v>
      </c>
      <c r="B6" s="616"/>
      <c r="C6" s="618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7">
        <f>Eigaben!G83</f>
        <v>0</v>
      </c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5"/>
    </row>
    <row r="7" spans="1:33" ht="18" customHeight="1">
      <c r="A7" s="1438" t="s">
        <v>40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09"/>
      <c r="L7" s="1209"/>
      <c r="M7" s="1210"/>
      <c r="N7" s="1215"/>
      <c r="O7" s="1208" t="s">
        <v>41</v>
      </c>
      <c r="P7" s="1209"/>
      <c r="Q7" s="1209"/>
      <c r="R7" s="1209"/>
      <c r="S7" s="1209"/>
      <c r="T7" s="1209"/>
      <c r="U7" s="1209"/>
      <c r="V7" s="1209"/>
      <c r="W7" s="1209"/>
      <c r="X7" s="1209"/>
      <c r="Y7" s="1209"/>
      <c r="Z7" s="1209"/>
      <c r="AA7" s="1439"/>
      <c r="AC7" s="961"/>
      <c r="AD7" s="961"/>
      <c r="AE7" s="961"/>
      <c r="AF7" s="961"/>
    </row>
    <row r="8" spans="1:33" ht="21" customHeight="1">
      <c r="A8" s="1440" t="str">
        <f>(VLOOKUP($A$6,Eigaben!$Y$17:$Z$103,2,0))</f>
        <v>STV Affeltrangen  ( NLA )</v>
      </c>
      <c r="B8" s="1441" t="str">
        <f>(VLOOKUP($A$6,Eigaben!$Y$17:$Z$103,2,0))</f>
        <v>STV Affeltrangen  ( NLA )</v>
      </c>
      <c r="C8" s="1441" t="str">
        <f>(VLOOKUP($A$6,Eigaben!$Y$17:$Z$103,2,0))</f>
        <v>STV Affeltrangen  ( NLA )</v>
      </c>
      <c r="D8" s="1441" t="str">
        <f>(VLOOKUP($A$6,Eigaben!$Y$17:$Z$103,2,0))</f>
        <v>STV Affeltrangen  ( NLA )</v>
      </c>
      <c r="E8" s="1441" t="str">
        <f>(VLOOKUP($A$6,Eigaben!$Y$17:$Z$103,2,0))</f>
        <v>STV Affeltrangen  ( NLA )</v>
      </c>
      <c r="F8" s="1441" t="str">
        <f>(VLOOKUP($A$6,Eigaben!$Y$17:$Z$103,2,0))</f>
        <v>STV Affeltrangen  ( NLA )</v>
      </c>
      <c r="G8" s="1441" t="str">
        <f>(VLOOKUP($A$6,Eigaben!$Y$17:$Z$103,2,0))</f>
        <v>STV Affeltrangen  ( NLA )</v>
      </c>
      <c r="H8" s="1441" t="str">
        <f>(VLOOKUP($A$6,Eigaben!$Y$17:$Z$103,2,0))</f>
        <v>STV Affeltrangen  ( NLA )</v>
      </c>
      <c r="I8" s="1441" t="str">
        <f>(VLOOKUP($A$6,Eigaben!$Y$17:$Z$103,2,0))</f>
        <v>STV Affeltrangen  ( NLA )</v>
      </c>
      <c r="J8" s="1441" t="str">
        <f>(VLOOKUP($A$6,Eigaben!$Y$17:$Z$103,2,0))</f>
        <v>STV Affeltrangen  ( NLA )</v>
      </c>
      <c r="K8" s="1441" t="str">
        <f>(VLOOKUP($A$6,Eigaben!$Y$17:$Z$103,2,0))</f>
        <v>STV Affeltrangen  ( NLA )</v>
      </c>
      <c r="L8" s="1441" t="str">
        <f>(VLOOKUP($A$6,Eigaben!$Y$17:$Z$103,2,0))</f>
        <v>STV Affeltrangen  ( NLA )</v>
      </c>
      <c r="M8" s="1442" t="str">
        <f>(VLOOKUP($A$6,Eigaben!$Y$17:$Z$103,2,0))</f>
        <v>STV Affeltrangen  ( NLA )</v>
      </c>
      <c r="N8" s="1215"/>
      <c r="O8" s="1205" t="e">
        <f>(VLOOKUP($O$6,Eigaben!$Y$17:$Z$103,2,0))</f>
        <v>#N/A</v>
      </c>
      <c r="P8" s="1206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7"/>
      <c r="AC8" s="156"/>
      <c r="AD8" s="156"/>
      <c r="AE8" s="156"/>
      <c r="AF8" s="156"/>
    </row>
    <row r="9" spans="1:33" s="169" customFormat="1" ht="15" customHeight="1">
      <c r="A9" s="1188" t="str">
        <f>VLOOKUP($A$6,Eigaben!$Y$17:$AH$103,3,1)&amp;" "&amp;VLOOKUP(A6,Eigaben!Y17:AH103,4,1)</f>
        <v>Andreas Ribi</v>
      </c>
      <c r="B9" s="1189"/>
      <c r="C9" s="1189"/>
      <c r="D9" s="1189"/>
      <c r="E9" s="1189"/>
      <c r="F9" s="1189"/>
      <c r="G9" s="1189"/>
      <c r="H9" s="1189"/>
      <c r="I9" s="1189"/>
      <c r="J9" s="1189"/>
      <c r="K9" s="1189"/>
      <c r="L9" s="1189"/>
      <c r="M9" s="1387"/>
      <c r="N9" s="22"/>
      <c r="O9" s="1386" t="e">
        <f>VLOOKUP($O$6,Eigaben!$Y$17:$AH$103,3,1)&amp;" "&amp;VLOOKUP($O$6,Eigaben!$Y$17:$AH$103,4,1)</f>
        <v>#N/A</v>
      </c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443"/>
    </row>
    <row r="10" spans="1:33" s="169" customFormat="1" ht="17.25" customHeight="1">
      <c r="A10" s="1444" t="str">
        <f>VLOOKUP($A$6,Eigaben!$Y$17:$AH$103,5,1)</f>
        <v>Unterdorfstr 2b</v>
      </c>
      <c r="B10" s="1445"/>
      <c r="C10" s="1445"/>
      <c r="D10" s="1445"/>
      <c r="E10" s="1445"/>
      <c r="F10" s="1445"/>
      <c r="G10" s="1445" t="str">
        <f>VLOOKUP($A$6,Eigaben!$Y$17:$AH$103,6,1)&amp;" "&amp;VLOOKUP(A6,Eigaben!$Y$17:$AH$103,7,1)</f>
        <v>8507 Hörhausen</v>
      </c>
      <c r="H10" s="1445"/>
      <c r="I10" s="1445"/>
      <c r="J10" s="1445"/>
      <c r="K10" s="1445"/>
      <c r="L10" s="1445"/>
      <c r="M10" s="1446"/>
      <c r="N10" s="22"/>
      <c r="O10" s="1447" t="e">
        <f>VLOOKUP($O$6,Eigaben!$Y$17:$AH$103,5,1)</f>
        <v>#N/A</v>
      </c>
      <c r="P10" s="1445"/>
      <c r="Q10" s="1445"/>
      <c r="R10" s="1445"/>
      <c r="S10" s="1445"/>
      <c r="T10" s="1445"/>
      <c r="U10" s="1445" t="e">
        <f>VLOOKUP($O$6,Eigaben!$Y$17:$AV$103,6,1)&amp;" "&amp;VLOOKUP($O$6,Eigaben!$Y$17:$AV$103,7,1)</f>
        <v>#N/A</v>
      </c>
      <c r="V10" s="1445"/>
      <c r="W10" s="1445"/>
      <c r="X10" s="1445"/>
      <c r="Y10" s="1445"/>
      <c r="Z10" s="1445"/>
      <c r="AA10" s="1448"/>
    </row>
    <row r="11" spans="1:33" s="169" customFormat="1" ht="15" customHeight="1">
      <c r="A11" s="614" t="str">
        <f>IF(Eigaben!AF54=0,"",VLOOKUP($A$6,Eigaben!$Y$17:$AH$103,8,1))</f>
        <v xml:space="preserve"> </v>
      </c>
      <c r="B11" s="611"/>
      <c r="C11" s="611"/>
      <c r="D11" s="611"/>
      <c r="E11" s="611"/>
      <c r="F11" s="611"/>
      <c r="G11" s="611" t="str">
        <f>IF(Eigaben!$AG$54=0,"",VLOOKUP($A$6,Eigaben!$Y$17:$AH$103,9,1))</f>
        <v>079 585 70 85</v>
      </c>
      <c r="H11" s="611"/>
      <c r="I11" s="611"/>
      <c r="J11" s="611"/>
      <c r="K11" s="611"/>
      <c r="L11" s="611"/>
      <c r="M11" s="613"/>
      <c r="N11" s="22"/>
      <c r="O11" s="612" t="e">
        <f>IF(Eigaben!AF55=0,"",VLOOKUP($O$6,Eigaben!$Y$17:$AH$103,8,1))</f>
        <v>#N/A</v>
      </c>
      <c r="P11" s="611"/>
      <c r="Q11" s="611"/>
      <c r="R11" s="611"/>
      <c r="S11" s="611"/>
      <c r="T11" s="611"/>
      <c r="U11" s="611" t="e">
        <f>IF(Eigaben!$P$54=0,"",VLOOKUP($O$6,Eigaben!$Y$17:$AH$103,9,1))</f>
        <v>#N/A</v>
      </c>
      <c r="V11" s="611"/>
      <c r="W11" s="611"/>
      <c r="X11" s="611"/>
      <c r="Y11" s="611"/>
      <c r="Z11" s="611"/>
      <c r="AA11" s="610"/>
    </row>
    <row r="12" spans="1:33" s="169" customFormat="1" ht="18.75" customHeight="1" thickBot="1">
      <c r="A12" s="1391" t="str">
        <f>VLOOKUP($A$6,Eigaben!$Y$17:$AH$103,10,1)</f>
        <v xml:space="preserve">faustball@stv-affeltrangen.ch </v>
      </c>
      <c r="B12" s="1449"/>
      <c r="C12" s="1449"/>
      <c r="D12" s="1449"/>
      <c r="E12" s="1449"/>
      <c r="F12" s="1449"/>
      <c r="G12" s="1449"/>
      <c r="H12" s="1449"/>
      <c r="I12" s="1449"/>
      <c r="J12" s="1449"/>
      <c r="K12" s="1449"/>
      <c r="L12" s="1449"/>
      <c r="M12" s="1390"/>
      <c r="N12" s="22"/>
      <c r="O12" s="1389" t="e">
        <f>VLOOKUP($O$6,Eigaben!$Y$17:$AH$103,10,1)</f>
        <v>#N/A</v>
      </c>
      <c r="P12" s="1449"/>
      <c r="Q12" s="1449"/>
      <c r="R12" s="1449"/>
      <c r="S12" s="1449"/>
      <c r="T12" s="1449"/>
      <c r="U12" s="1449"/>
      <c r="V12" s="1449"/>
      <c r="W12" s="1449"/>
      <c r="X12" s="1449"/>
      <c r="Y12" s="1449"/>
      <c r="Z12" s="1449"/>
      <c r="AA12" s="1450"/>
    </row>
    <row r="13" spans="1:33" ht="9" customHeight="1">
      <c r="A13" s="555"/>
      <c r="B13" s="263"/>
      <c r="C13" s="266">
        <f>Eigaben!C83</f>
        <v>0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556"/>
    </row>
    <row r="14" spans="1:33" ht="15.5">
      <c r="A14" s="1435" t="s">
        <v>5</v>
      </c>
      <c r="B14" s="1436"/>
      <c r="C14" s="1436"/>
      <c r="D14" s="1436"/>
      <c r="E14" s="1436"/>
      <c r="F14" s="1436"/>
      <c r="G14" s="1436" t="s">
        <v>0</v>
      </c>
      <c r="H14" s="1436"/>
      <c r="I14" s="1436"/>
      <c r="J14" s="1436"/>
      <c r="K14" s="1436"/>
      <c r="L14" s="1436" t="s">
        <v>6</v>
      </c>
      <c r="M14" s="1436"/>
      <c r="N14" s="1436"/>
      <c r="O14" s="1436"/>
      <c r="P14" s="1436"/>
      <c r="Q14" s="1436"/>
      <c r="R14" s="1436"/>
      <c r="S14" s="1436"/>
      <c r="T14" s="1436" t="s">
        <v>133</v>
      </c>
      <c r="U14" s="1436"/>
      <c r="V14" s="1436"/>
      <c r="W14" s="1436"/>
      <c r="X14" s="1436"/>
      <c r="Y14" s="1436"/>
      <c r="Z14" s="1436"/>
      <c r="AA14" s="1437"/>
    </row>
    <row r="15" spans="1:33" ht="20.25" customHeight="1" thickBot="1">
      <c r="A15" s="1451" t="e">
        <f>VLOOKUP(C13,Eigaben!C83:V84,13,0)</f>
        <v>#N/A</v>
      </c>
      <c r="B15" s="1452"/>
      <c r="C15" s="1452"/>
      <c r="D15" s="1452"/>
      <c r="E15" s="1452"/>
      <c r="F15" s="1452"/>
      <c r="G15" s="1453" t="e">
        <f>VLOOKUP(C13,Eigaben!$C$83:$V$84,14,0)</f>
        <v>#N/A</v>
      </c>
      <c r="H15" s="1453"/>
      <c r="I15" s="1453"/>
      <c r="J15" s="1453"/>
      <c r="K15" s="1453"/>
      <c r="L15" s="1454" t="e">
        <f>IF(Eigaben!C6=0,"",VLOOKUP(C13,Eigaben!$C$83:$V$84,15,0))</f>
        <v>#N/A</v>
      </c>
      <c r="M15" s="1455"/>
      <c r="N15" s="1455"/>
      <c r="O15" s="1455"/>
      <c r="P15" s="1455"/>
      <c r="Q15" s="1455"/>
      <c r="R15" s="1455"/>
      <c r="S15" s="1456"/>
      <c r="T15" s="1457" t="e">
        <f>IF(Eigaben!C6=0,"",VLOOKUP(C13,Eigaben!C83:V84,16,0))</f>
        <v>#N/A</v>
      </c>
      <c r="U15" s="1458"/>
      <c r="V15" s="1458"/>
      <c r="W15" s="1458"/>
      <c r="X15" s="1458"/>
      <c r="Y15" s="1458"/>
      <c r="Z15" s="1458"/>
      <c r="AA15" s="1459"/>
      <c r="AC15" s="1154"/>
      <c r="AD15" s="1154"/>
      <c r="AG15" s="12"/>
    </row>
    <row r="16" spans="1:33" ht="12.75" customHeight="1" thickTop="1" thickBot="1">
      <c r="A16" s="557"/>
      <c r="B16" s="557"/>
      <c r="C16" s="672">
        <f>Eigaben!T83</f>
        <v>0</v>
      </c>
      <c r="D16" s="557"/>
      <c r="E16" s="557"/>
      <c r="F16" s="557"/>
      <c r="G16" s="557"/>
      <c r="H16" s="557"/>
      <c r="I16" s="557"/>
      <c r="J16" s="557"/>
      <c r="K16" s="557"/>
      <c r="L16" s="673">
        <f>Eigaben!T84</f>
        <v>0</v>
      </c>
      <c r="M16" s="557"/>
      <c r="N16" s="557"/>
      <c r="O16" s="557"/>
      <c r="P16" s="557"/>
      <c r="Q16" s="557"/>
      <c r="R16" s="673">
        <f>Eigaben!T85</f>
        <v>0</v>
      </c>
      <c r="S16" s="557"/>
      <c r="T16" s="557"/>
      <c r="U16" s="557"/>
      <c r="V16" s="557"/>
      <c r="W16" s="557"/>
      <c r="X16" s="557"/>
      <c r="Y16" s="557"/>
      <c r="Z16" s="557"/>
      <c r="AA16" s="557"/>
      <c r="AC16" s="1154"/>
      <c r="AD16" s="1154"/>
    </row>
    <row r="17" spans="1:43" ht="20.5" thickTop="1">
      <c r="A17" s="1460" t="s">
        <v>238</v>
      </c>
      <c r="B17" s="1217"/>
      <c r="C17" s="1217"/>
      <c r="D17" s="1217"/>
      <c r="E17" s="1217"/>
      <c r="F17" s="1217"/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17"/>
      <c r="U17" s="1217"/>
      <c r="V17" s="1217"/>
      <c r="W17" s="1217"/>
      <c r="X17" s="1217"/>
      <c r="Y17" s="1217"/>
      <c r="Z17" s="1217"/>
      <c r="AA17" s="1461"/>
      <c r="AB17" s="156"/>
      <c r="AC17" s="1108"/>
      <c r="AD17" s="1108"/>
      <c r="AE17" s="182"/>
      <c r="AF17" s="183"/>
    </row>
    <row r="18" spans="1:43" ht="6" customHeight="1" thickBot="1">
      <c r="A18" s="553"/>
      <c r="AA18" s="554"/>
      <c r="AC18" s="1221"/>
      <c r="AD18" s="1221"/>
    </row>
    <row r="19" spans="1:43" ht="18" customHeight="1" thickTop="1" thickBot="1">
      <c r="A19" s="1466" t="str">
        <f>IF(C16=0,"",VLOOKUP(C16,Schiri_25!$A$2:$L$181,3,1)&amp;" "&amp;VLOOKUP(C16,Schiri_25!$A$2:$L$181,2,1)&amp;" "&amp;VLOOKUP(C16,Schiri_25!$A$2:$L$181,9,1))</f>
        <v/>
      </c>
      <c r="B19" s="1462"/>
      <c r="C19" s="1462"/>
      <c r="D19" s="1462"/>
      <c r="E19" s="1462"/>
      <c r="F19" s="1462"/>
      <c r="G19" s="1462"/>
      <c r="H19" s="1462"/>
      <c r="I19" s="1462"/>
      <c r="J19" s="1462" t="str">
        <f>IF(L16=0,"",VLOOKUP(L16,Schiri_25!$A$2:$L$181,3,1)&amp;" "&amp;VLOOKUP(L16,Schiri_25!$A$2:$L$181,2,1)&amp;" "&amp;VLOOKUP(L16,Schiri_25!$A$2:$L$181,9,1))</f>
        <v/>
      </c>
      <c r="K19" s="1462"/>
      <c r="L19" s="1462"/>
      <c r="M19" s="1462"/>
      <c r="N19" s="1462"/>
      <c r="O19" s="1462"/>
      <c r="P19" s="1462"/>
      <c r="Q19" s="1462"/>
      <c r="R19" s="1462" t="str">
        <f>IF(R16=0,"",VLOOKUP(R16,Schiri_25!$A$2:$L$181,3,1)&amp;" "&amp;VLOOKUP(R16,Schiri_25!$A$2:$L$181,2,1)&amp;" "&amp;VLOOKUP(R16,Schiri_25!$A$2:$L$181,9,1))</f>
        <v/>
      </c>
      <c r="S19" s="1462"/>
      <c r="T19" s="1462"/>
      <c r="U19" s="1462"/>
      <c r="V19" s="1462"/>
      <c r="W19" s="1462"/>
      <c r="X19" s="1462"/>
      <c r="Y19" s="1462"/>
      <c r="Z19" s="1462"/>
      <c r="AA19" s="1463"/>
      <c r="AC19" s="1221"/>
      <c r="AD19" s="1221"/>
      <c r="AG19" s="184"/>
    </row>
    <row r="20" spans="1:43" ht="6" customHeight="1" thickTop="1">
      <c r="A20" s="1464"/>
      <c r="B20" s="1428"/>
      <c r="C20" s="1428"/>
      <c r="D20" s="1428"/>
      <c r="E20" s="1428"/>
      <c r="F20" s="1428"/>
      <c r="G20" s="1428"/>
      <c r="H20" s="1428"/>
      <c r="I20" s="1428"/>
      <c r="J20" s="1428"/>
      <c r="K20" s="1428"/>
      <c r="L20" s="1428"/>
      <c r="M20" s="1428"/>
      <c r="N20" s="1428"/>
      <c r="O20" s="1428"/>
      <c r="P20" s="1428"/>
      <c r="Q20" s="1428"/>
      <c r="R20" s="1428"/>
      <c r="S20" s="1428"/>
      <c r="T20" s="1428"/>
      <c r="U20" s="1428"/>
      <c r="V20" s="1428"/>
      <c r="W20" s="1428"/>
      <c r="X20" s="1428"/>
      <c r="Y20" s="1428"/>
      <c r="Z20" s="1428"/>
      <c r="AA20" s="1465"/>
      <c r="AC20" s="1221"/>
      <c r="AD20" s="1221"/>
    </row>
    <row r="21" spans="1:43" s="20" customFormat="1" ht="12" customHeight="1">
      <c r="A21" s="558" t="s">
        <v>247</v>
      </c>
      <c r="B21" s="335"/>
      <c r="C21" s="335"/>
      <c r="D21" s="335"/>
      <c r="E21" s="335"/>
      <c r="F21" s="335"/>
      <c r="G21" s="335"/>
      <c r="H21" s="335"/>
      <c r="I21" s="335"/>
      <c r="R21" s="335"/>
      <c r="S21" s="335"/>
      <c r="T21" s="335"/>
      <c r="U21" s="335"/>
      <c r="V21" s="335"/>
      <c r="W21" s="335"/>
      <c r="X21" s="335"/>
      <c r="Y21" s="335"/>
      <c r="Z21" s="335"/>
      <c r="AA21" s="55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ht="6" customHeight="1">
      <c r="A22" s="560"/>
      <c r="B22" s="171"/>
      <c r="C22" s="171"/>
      <c r="D22" s="171"/>
      <c r="E22" s="171"/>
      <c r="F22" s="171"/>
      <c r="G22" s="171"/>
      <c r="H22" s="171"/>
      <c r="I22" s="171"/>
      <c r="J22" s="169"/>
      <c r="K22" s="169"/>
      <c r="L22" s="169"/>
      <c r="M22" s="169"/>
      <c r="N22" s="169"/>
      <c r="O22" s="169"/>
      <c r="P22" s="169"/>
      <c r="Q22" s="169"/>
      <c r="R22" s="171"/>
      <c r="S22" s="171"/>
      <c r="T22" s="171"/>
      <c r="U22" s="171"/>
      <c r="V22" s="171"/>
      <c r="W22" s="171"/>
      <c r="X22" s="171"/>
      <c r="Y22" s="171"/>
      <c r="Z22" s="171"/>
      <c r="AA22" s="561"/>
      <c r="AC22" s="172"/>
      <c r="AD22" s="183"/>
    </row>
    <row r="23" spans="1:43" ht="12" customHeight="1">
      <c r="A23" s="1114" t="s">
        <v>240</v>
      </c>
      <c r="B23" s="1115"/>
      <c r="C23" s="1115"/>
      <c r="D23" s="1115"/>
      <c r="E23" s="1115"/>
      <c r="F23" s="1115"/>
      <c r="G23" s="1115"/>
      <c r="H23" s="1115"/>
      <c r="I23" s="1115"/>
      <c r="J23" s="1115"/>
      <c r="K23" s="1115"/>
      <c r="L23" s="1115"/>
      <c r="M23" s="1129" t="e">
        <f>IF(G15="","",G15-"00:30:00")</f>
        <v>#N/A</v>
      </c>
      <c r="N23" s="1129"/>
      <c r="O23" s="1129"/>
      <c r="P23" s="172"/>
      <c r="Q23" s="172"/>
      <c r="R23" s="173"/>
      <c r="S23" s="169"/>
      <c r="T23" s="174"/>
      <c r="U23" s="174"/>
      <c r="V23" s="174"/>
      <c r="W23" s="174"/>
      <c r="X23" s="174"/>
      <c r="Y23" s="174"/>
      <c r="Z23" s="22"/>
      <c r="AA23" s="175"/>
      <c r="AC23" s="172"/>
      <c r="AD23" s="183"/>
    </row>
    <row r="24" spans="1:43" ht="6" customHeight="1">
      <c r="A24" s="562"/>
      <c r="B24" s="12"/>
      <c r="C24" s="169"/>
      <c r="D24" s="169"/>
      <c r="E24" s="22"/>
      <c r="F24" s="22"/>
      <c r="G24" s="22"/>
      <c r="H24" s="169"/>
      <c r="I24" s="171"/>
      <c r="J24" s="171"/>
      <c r="K24" s="171"/>
      <c r="L24" s="176"/>
      <c r="M24" s="176"/>
      <c r="N24" s="176"/>
      <c r="O24" s="176"/>
      <c r="P24" s="176"/>
      <c r="Q24" s="176"/>
      <c r="R24" s="176"/>
      <c r="S24" s="22"/>
      <c r="T24" s="22"/>
      <c r="U24" s="22"/>
      <c r="V24" s="169"/>
      <c r="W24" s="169"/>
      <c r="X24" s="169"/>
      <c r="Y24" s="169"/>
      <c r="Z24" s="169"/>
      <c r="AA24" s="563"/>
      <c r="AC24" s="1155"/>
      <c r="AD24" s="1155"/>
    </row>
    <row r="25" spans="1:43" ht="14">
      <c r="A25" s="1467" t="s">
        <v>163</v>
      </c>
      <c r="B25" s="1117"/>
      <c r="C25" s="1117"/>
      <c r="D25" s="169" t="s">
        <v>1015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563"/>
      <c r="AC25" s="1155"/>
      <c r="AD25" s="1155"/>
    </row>
    <row r="26" spans="1:43" ht="3.75" customHeight="1">
      <c r="A26" s="564"/>
      <c r="B26" s="280"/>
      <c r="C26" s="280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563"/>
    </row>
    <row r="27" spans="1:43" ht="18">
      <c r="A27" s="565" t="s">
        <v>248</v>
      </c>
      <c r="B27" s="173"/>
      <c r="C27" s="173"/>
      <c r="D27" s="173"/>
      <c r="E27" s="173"/>
      <c r="F27" s="173" t="s">
        <v>165</v>
      </c>
      <c r="G27" s="1228" t="s">
        <v>328</v>
      </c>
      <c r="H27" s="1220"/>
      <c r="I27" s="1220"/>
      <c r="K27" s="281"/>
      <c r="L27" s="281"/>
      <c r="M27" s="865" t="s">
        <v>157</v>
      </c>
      <c r="N27" s="865"/>
      <c r="O27" s="865"/>
      <c r="P27" s="865"/>
      <c r="Q27" s="865"/>
      <c r="R27" s="865"/>
      <c r="S27" s="865"/>
      <c r="T27" s="1220" t="s">
        <v>330</v>
      </c>
      <c r="U27" s="1220"/>
      <c r="V27" s="1220">
        <v>1</v>
      </c>
      <c r="W27" s="1220"/>
      <c r="X27" s="281"/>
      <c r="Y27" s="1468"/>
      <c r="Z27" s="1468"/>
      <c r="AA27" s="1469"/>
      <c r="AC27" s="1108"/>
      <c r="AD27" s="1108"/>
      <c r="AH27" s="255"/>
      <c r="AJ27" s="1219"/>
      <c r="AK27" s="1219"/>
      <c r="AL27" s="1219"/>
      <c r="AM27" s="1219"/>
    </row>
    <row r="28" spans="1:43" ht="6" customHeight="1">
      <c r="A28" s="562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563"/>
    </row>
    <row r="29" spans="1:43" s="169" customFormat="1" ht="30.75" customHeight="1" thickBot="1">
      <c r="A29" s="1470" t="s">
        <v>329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471"/>
    </row>
    <row r="30" spans="1:43" ht="12.75" customHeight="1" thickBot="1">
      <c r="A30" s="566"/>
      <c r="B30" s="566"/>
      <c r="C30" s="566"/>
      <c r="D30" s="566"/>
      <c r="E30" s="566"/>
      <c r="F30" s="566">
        <v>31</v>
      </c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566"/>
      <c r="S30" s="566"/>
      <c r="T30" s="566"/>
      <c r="U30" s="566"/>
      <c r="V30" s="566"/>
      <c r="W30" s="566"/>
      <c r="X30" s="566"/>
      <c r="Y30" s="566"/>
      <c r="Z30" s="566"/>
      <c r="AA30" s="566"/>
    </row>
    <row r="31" spans="1:43" ht="20.25" customHeight="1" thickTop="1">
      <c r="A31" s="1143" t="s">
        <v>241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1144"/>
      <c r="P31" s="1144"/>
      <c r="Q31" s="1144"/>
      <c r="R31" s="1144"/>
      <c r="S31" s="1144"/>
      <c r="T31" s="1144"/>
      <c r="U31" s="1144"/>
      <c r="V31" s="1144"/>
      <c r="W31" s="1144"/>
      <c r="X31" s="1144"/>
      <c r="Y31" s="1144"/>
      <c r="Z31" s="1144"/>
      <c r="AA31" s="1145"/>
      <c r="AC31" s="183"/>
    </row>
    <row r="32" spans="1:43" s="169" customFormat="1" ht="17.25" customHeight="1">
      <c r="A32" s="1114" t="s">
        <v>164</v>
      </c>
      <c r="B32" s="1115"/>
      <c r="C32" s="1115"/>
      <c r="D32" s="1115"/>
      <c r="E32" s="1428" t="s">
        <v>245</v>
      </c>
      <c r="F32" s="1428"/>
      <c r="G32" s="1428"/>
      <c r="H32" s="1428"/>
      <c r="I32" s="1428"/>
      <c r="J32" s="1428"/>
      <c r="K32" s="1428"/>
      <c r="L32" s="1428"/>
      <c r="M32" s="1428"/>
      <c r="N32" s="1428"/>
      <c r="O32" s="1428"/>
      <c r="P32" s="865" t="s">
        <v>1021</v>
      </c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1424"/>
      <c r="AC32" s="1108"/>
      <c r="AD32" s="1108"/>
    </row>
    <row r="33" spans="1:30" s="169" customFormat="1" ht="5.25" customHeight="1">
      <c r="A33" s="1122"/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6"/>
      <c r="AA33" s="1123"/>
    </row>
    <row r="34" spans="1:30" s="169" customFormat="1" ht="21" customHeight="1">
      <c r="A34" s="178" t="s">
        <v>239</v>
      </c>
      <c r="B34" s="73"/>
      <c r="C34" s="73"/>
      <c r="D34" s="73"/>
      <c r="E34" s="171"/>
      <c r="F34" s="171"/>
      <c r="G34" s="1472"/>
      <c r="H34" s="1473"/>
      <c r="I34" s="179"/>
      <c r="J34" s="179"/>
      <c r="K34" s="179"/>
      <c r="L34" s="179"/>
      <c r="M34" s="865"/>
      <c r="N34" s="865"/>
      <c r="O34" s="865"/>
      <c r="P34" s="172"/>
      <c r="Q34" s="172"/>
      <c r="R34" s="173"/>
      <c r="T34" s="174"/>
      <c r="U34" s="174"/>
      <c r="V34" s="174"/>
      <c r="W34" s="174"/>
      <c r="X34" s="174"/>
      <c r="Y34" s="174"/>
      <c r="Z34" s="22"/>
      <c r="AA34" s="175"/>
      <c r="AC34" s="1108"/>
      <c r="AD34" s="1108"/>
    </row>
    <row r="35" spans="1:30" s="169" customFormat="1" ht="5.25" customHeight="1">
      <c r="A35" s="1122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6"/>
      <c r="M35" s="1116"/>
      <c r="N35" s="1116"/>
      <c r="O35" s="1116"/>
      <c r="P35" s="1116"/>
      <c r="Q35" s="1116"/>
      <c r="R35" s="1116"/>
      <c r="S35" s="1116"/>
      <c r="T35" s="1116"/>
      <c r="U35" s="1116"/>
      <c r="V35" s="1116"/>
      <c r="W35" s="1116"/>
      <c r="X35" s="1116"/>
      <c r="Y35" s="1116"/>
      <c r="Z35" s="1116"/>
      <c r="AA35" s="1123"/>
    </row>
    <row r="36" spans="1:30" s="169" customFormat="1" ht="48.75" customHeight="1" thickBot="1">
      <c r="A36" s="1150" t="s">
        <v>243</v>
      </c>
      <c r="B36" s="1151"/>
      <c r="C36" s="1151"/>
      <c r="D36" s="1151"/>
      <c r="E36" s="1151"/>
      <c r="F36" s="1151"/>
      <c r="G36" s="1152" t="s">
        <v>244</v>
      </c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  <c r="X36" s="1152"/>
      <c r="Y36" s="1152"/>
      <c r="Z36" s="1152"/>
      <c r="AA36" s="1153"/>
      <c r="AC36" s="172"/>
    </row>
    <row r="37" spans="1:30" ht="12.75" customHeight="1" thickTop="1" thickBot="1">
      <c r="A37" s="1146"/>
      <c r="B37" s="1146"/>
      <c r="C37" s="1146"/>
      <c r="D37" s="1146"/>
      <c r="E37" s="1146"/>
      <c r="F37" s="1146"/>
      <c r="G37" s="1146"/>
      <c r="H37" s="1146"/>
      <c r="I37" s="1146"/>
      <c r="J37" s="1146"/>
      <c r="K37" s="1146"/>
      <c r="L37" s="1146"/>
      <c r="M37" s="1146"/>
      <c r="N37" s="1146"/>
      <c r="O37" s="1146"/>
      <c r="P37" s="1146"/>
      <c r="Q37" s="1146"/>
      <c r="R37" s="1146"/>
      <c r="S37" s="1146"/>
      <c r="T37" s="1146"/>
      <c r="U37" s="1146"/>
      <c r="V37" s="1146"/>
      <c r="W37" s="1146"/>
      <c r="X37" s="1146"/>
      <c r="Y37" s="1146"/>
      <c r="Z37" s="1146"/>
      <c r="AA37" s="1146"/>
    </row>
    <row r="38" spans="1:30" ht="20">
      <c r="A38" s="1147" t="s">
        <v>154</v>
      </c>
      <c r="B38" s="1148"/>
      <c r="C38" s="1148"/>
      <c r="D38" s="1148"/>
      <c r="E38" s="1148"/>
      <c r="F38" s="1148"/>
      <c r="G38" s="1148"/>
      <c r="H38" s="1148"/>
      <c r="I38" s="1148"/>
      <c r="J38" s="1148"/>
      <c r="K38" s="1148"/>
      <c r="L38" s="1148"/>
      <c r="M38" s="1148"/>
      <c r="N38" s="1148"/>
      <c r="O38" s="1148"/>
      <c r="P38" s="1148"/>
      <c r="Q38" s="1148"/>
      <c r="R38" s="1148"/>
      <c r="S38" s="1148"/>
      <c r="T38" s="1148"/>
      <c r="U38" s="1148"/>
      <c r="V38" s="1148"/>
      <c r="W38" s="1148"/>
      <c r="X38" s="1148"/>
      <c r="Y38" s="1148"/>
      <c r="Z38" s="1148"/>
      <c r="AA38" s="1149"/>
    </row>
    <row r="39" spans="1:30" ht="6" customHeight="1">
      <c r="A39" s="1140"/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  <c r="M39" s="1141"/>
      <c r="N39" s="1141"/>
      <c r="O39" s="1141"/>
      <c r="P39" s="1141"/>
      <c r="Q39" s="1141"/>
      <c r="R39" s="1141"/>
      <c r="S39" s="1141"/>
      <c r="T39" s="1141"/>
      <c r="U39" s="1141"/>
      <c r="V39" s="1141"/>
      <c r="W39" s="1141"/>
      <c r="X39" s="1141"/>
      <c r="Y39" s="1141"/>
      <c r="Z39" s="1141"/>
      <c r="AA39" s="1142"/>
    </row>
    <row r="40" spans="1:30" ht="15" customHeight="1">
      <c r="A40" s="1137" t="s">
        <v>103</v>
      </c>
      <c r="B40" s="1138"/>
      <c r="C40" s="1138"/>
      <c r="D40" s="1138" t="s">
        <v>102</v>
      </c>
      <c r="E40" s="1138"/>
      <c r="F40" s="1138"/>
      <c r="G40" s="1138" t="s">
        <v>101</v>
      </c>
      <c r="H40" s="1138"/>
      <c r="I40" s="1138"/>
      <c r="J40" s="1138" t="s">
        <v>100</v>
      </c>
      <c r="K40" s="1138"/>
      <c r="L40" s="1138"/>
      <c r="M40" s="1138" t="s">
        <v>99</v>
      </c>
      <c r="N40" s="1138"/>
      <c r="O40" s="1138"/>
      <c r="P40" s="1138" t="s">
        <v>98</v>
      </c>
      <c r="Q40" s="1138"/>
      <c r="R40" s="1138"/>
      <c r="S40" s="1138" t="s">
        <v>97</v>
      </c>
      <c r="T40" s="1138"/>
      <c r="U40" s="1138"/>
      <c r="V40" s="1138" t="s">
        <v>96</v>
      </c>
      <c r="W40" s="1138"/>
      <c r="X40" s="1138"/>
      <c r="Y40" s="1138" t="s">
        <v>95</v>
      </c>
      <c r="Z40" s="1138"/>
      <c r="AA40" s="907"/>
    </row>
    <row r="41" spans="1:30" ht="27.75" customHeight="1">
      <c r="A41" s="609"/>
      <c r="B41" s="607" t="s">
        <v>3</v>
      </c>
      <c r="C41" s="606"/>
      <c r="D41" s="608"/>
      <c r="E41" s="607" t="s">
        <v>3</v>
      </c>
      <c r="F41" s="606"/>
      <c r="G41" s="608"/>
      <c r="H41" s="607" t="s">
        <v>3</v>
      </c>
      <c r="I41" s="606"/>
      <c r="J41" s="608"/>
      <c r="K41" s="607" t="s">
        <v>3</v>
      </c>
      <c r="L41" s="606"/>
      <c r="M41" s="608"/>
      <c r="N41" s="607" t="s">
        <v>3</v>
      </c>
      <c r="O41" s="606"/>
      <c r="P41" s="608"/>
      <c r="Q41" s="607" t="s">
        <v>3</v>
      </c>
      <c r="R41" s="606"/>
      <c r="S41" s="608"/>
      <c r="T41" s="607" t="s">
        <v>3</v>
      </c>
      <c r="U41" s="606"/>
      <c r="V41" s="608"/>
      <c r="W41" s="607" t="s">
        <v>3</v>
      </c>
      <c r="X41" s="606"/>
      <c r="Y41" s="605"/>
      <c r="Z41" s="604" t="s">
        <v>3</v>
      </c>
      <c r="AA41" s="603"/>
    </row>
    <row r="42" spans="1:30" s="177" customFormat="1" ht="21" customHeight="1" thickBot="1">
      <c r="A42" s="1474" t="s">
        <v>94</v>
      </c>
      <c r="B42" s="1475"/>
      <c r="C42" s="1476"/>
      <c r="D42" s="1477"/>
      <c r="E42" s="1478"/>
      <c r="F42" s="1478"/>
      <c r="G42" s="1478"/>
      <c r="H42" s="1478"/>
      <c r="I42" s="1478"/>
      <c r="J42" s="1478"/>
      <c r="K42" s="1478"/>
      <c r="L42" s="1478"/>
      <c r="M42" s="1478"/>
      <c r="N42" s="1478"/>
      <c r="O42" s="1478"/>
      <c r="P42" s="1478"/>
      <c r="Q42" s="1478"/>
      <c r="R42" s="1478"/>
      <c r="S42" s="1478"/>
      <c r="T42" s="1478"/>
      <c r="U42" s="1479"/>
      <c r="V42" s="1480" t="s">
        <v>156</v>
      </c>
      <c r="W42" s="1475"/>
      <c r="X42" s="1476"/>
      <c r="Y42" s="1481" t="s">
        <v>3</v>
      </c>
      <c r="Z42" s="1482"/>
      <c r="AA42" s="1483"/>
    </row>
    <row r="43" spans="1:30" ht="6" customHeight="1">
      <c r="A43" s="121"/>
      <c r="AA43" s="118"/>
    </row>
    <row r="44" spans="1:30" ht="36.75" customHeight="1">
      <c r="A44" s="1165" t="s">
        <v>821</v>
      </c>
      <c r="B44" s="1166"/>
      <c r="C44" s="1166"/>
      <c r="D44" s="1166"/>
      <c r="E44" s="1166"/>
      <c r="F44" s="1166"/>
      <c r="G44" s="1166"/>
      <c r="H44" s="1166"/>
      <c r="I44" s="1166"/>
      <c r="J44" s="1166"/>
      <c r="K44" s="1166"/>
      <c r="L44" s="1166"/>
      <c r="M44" s="1166"/>
      <c r="N44" s="1166"/>
      <c r="O44" s="1166"/>
      <c r="P44" s="1166"/>
      <c r="Q44" s="1166"/>
      <c r="R44" s="1166"/>
      <c r="S44" s="1166"/>
      <c r="T44" s="1166"/>
      <c r="U44" s="1166"/>
      <c r="V44" s="1166"/>
      <c r="W44" s="1166"/>
      <c r="X44" s="1166"/>
      <c r="Y44" s="1166"/>
      <c r="Z44" s="1166"/>
      <c r="AA44" s="1167"/>
    </row>
    <row r="45" spans="1:30" s="170" customFormat="1" ht="15.5">
      <c r="A45" s="1173" t="s">
        <v>822</v>
      </c>
      <c r="B45" s="1485"/>
      <c r="C45" s="1485"/>
      <c r="D45" s="1485"/>
      <c r="E45" s="1485"/>
      <c r="F45" s="1485"/>
      <c r="G45" s="1485"/>
      <c r="H45" s="1485"/>
      <c r="I45" s="1485"/>
      <c r="J45" s="1485"/>
      <c r="K45" s="962"/>
      <c r="L45" s="962"/>
      <c r="M45" s="962"/>
      <c r="N45" s="962"/>
      <c r="O45" s="962"/>
      <c r="P45" s="962"/>
      <c r="Q45" s="567"/>
      <c r="R45" s="1485" t="s">
        <v>38</v>
      </c>
      <c r="S45" s="962"/>
      <c r="T45" s="962"/>
      <c r="U45" s="962"/>
      <c r="V45" s="962"/>
      <c r="W45" s="962"/>
      <c r="X45" s="962"/>
      <c r="Y45" s="962"/>
      <c r="AA45" s="187"/>
    </row>
    <row r="46" spans="1:30" ht="6" customHeight="1" thickBot="1">
      <c r="A46" s="568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569"/>
    </row>
    <row r="47" spans="1:30" ht="42.75" customHeight="1">
      <c r="A47" s="1172" t="s">
        <v>246</v>
      </c>
      <c r="B47" s="1117"/>
      <c r="C47" s="1117"/>
      <c r="D47" s="1117"/>
      <c r="E47" s="1117"/>
      <c r="F47" s="1117"/>
      <c r="G47" s="1117"/>
      <c r="H47" s="1117"/>
      <c r="I47" s="1117"/>
      <c r="J47" s="1117"/>
      <c r="K47" s="1117"/>
      <c r="L47" s="1117"/>
      <c r="M47" s="1117"/>
      <c r="N47" s="1117"/>
      <c r="O47" s="1117"/>
      <c r="P47" s="1117"/>
      <c r="Q47" s="1117"/>
      <c r="R47" s="1117"/>
      <c r="S47" s="1117"/>
      <c r="T47" s="1117"/>
      <c r="U47" s="1486" t="s">
        <v>242</v>
      </c>
      <c r="V47" s="1486"/>
      <c r="W47" s="1486"/>
      <c r="X47" s="1174">
        <f ca="1">TODAY()</f>
        <v>45897</v>
      </c>
      <c r="Y47" s="1174"/>
      <c r="Z47" s="1174"/>
      <c r="AA47" s="1174"/>
    </row>
    <row r="50" spans="3:9" ht="15.5">
      <c r="C50" s="1484"/>
      <c r="D50" s="1484"/>
      <c r="E50" s="1484"/>
      <c r="F50" s="1484"/>
      <c r="G50" s="1484"/>
      <c r="H50" s="1484"/>
      <c r="I50" s="1484"/>
    </row>
    <row r="52" spans="3:9" ht="15.5">
      <c r="C52" s="602"/>
    </row>
    <row r="53" spans="3:9" ht="15.5">
      <c r="G53" s="601"/>
    </row>
  </sheetData>
  <mergeCells count="88">
    <mergeCell ref="C50:I50"/>
    <mergeCell ref="A44:AA44"/>
    <mergeCell ref="A45:I45"/>
    <mergeCell ref="J45:P45"/>
    <mergeCell ref="R45:Y45"/>
    <mergeCell ref="A47:T47"/>
    <mergeCell ref="U47:W47"/>
    <mergeCell ref="X47:AA47"/>
    <mergeCell ref="P40:R40"/>
    <mergeCell ref="S40:U40"/>
    <mergeCell ref="V40:X40"/>
    <mergeCell ref="Y40:AA40"/>
    <mergeCell ref="A42:C42"/>
    <mergeCell ref="D42:U42"/>
    <mergeCell ref="V42:X42"/>
    <mergeCell ref="Y42:AA42"/>
    <mergeCell ref="A40:C40"/>
    <mergeCell ref="D40:F40"/>
    <mergeCell ref="G40:I40"/>
    <mergeCell ref="J40:L40"/>
    <mergeCell ref="M40:O40"/>
    <mergeCell ref="A36:F36"/>
    <mergeCell ref="G36:AA36"/>
    <mergeCell ref="A37:AA37"/>
    <mergeCell ref="A38:AA38"/>
    <mergeCell ref="A39:AA39"/>
    <mergeCell ref="A33:AA33"/>
    <mergeCell ref="G34:H34"/>
    <mergeCell ref="M34:O34"/>
    <mergeCell ref="AC34:AD34"/>
    <mergeCell ref="A35:AA35"/>
    <mergeCell ref="AJ27:AM27"/>
    <mergeCell ref="A29:AA29"/>
    <mergeCell ref="A31:AA31"/>
    <mergeCell ref="A32:D32"/>
    <mergeCell ref="AC32:AD32"/>
    <mergeCell ref="E32:O32"/>
    <mergeCell ref="P32:AA32"/>
    <mergeCell ref="A23:L23"/>
    <mergeCell ref="M23:O23"/>
    <mergeCell ref="AC24:AD25"/>
    <mergeCell ref="A25:C25"/>
    <mergeCell ref="G27:I27"/>
    <mergeCell ref="M27:S27"/>
    <mergeCell ref="T27:U27"/>
    <mergeCell ref="V27:W27"/>
    <mergeCell ref="Y27:AA27"/>
    <mergeCell ref="AC27:AD27"/>
    <mergeCell ref="A17:AA17"/>
    <mergeCell ref="AC17:AD17"/>
    <mergeCell ref="AC18:AD20"/>
    <mergeCell ref="R19:AA19"/>
    <mergeCell ref="A20:AA20"/>
    <mergeCell ref="A19:I19"/>
    <mergeCell ref="J19:Q19"/>
    <mergeCell ref="A15:F15"/>
    <mergeCell ref="G15:K15"/>
    <mergeCell ref="L15:S15"/>
    <mergeCell ref="T15:AA15"/>
    <mergeCell ref="AC15:AD16"/>
    <mergeCell ref="A12:M12"/>
    <mergeCell ref="O12:AA12"/>
    <mergeCell ref="A14:F14"/>
    <mergeCell ref="G14:K14"/>
    <mergeCell ref="L14:S14"/>
    <mergeCell ref="T14:AA14"/>
    <mergeCell ref="A9:M9"/>
    <mergeCell ref="O9:AA9"/>
    <mergeCell ref="A10:F10"/>
    <mergeCell ref="G10:M10"/>
    <mergeCell ref="O10:T10"/>
    <mergeCell ref="U10:AA10"/>
    <mergeCell ref="A7:M7"/>
    <mergeCell ref="N7:N8"/>
    <mergeCell ref="O7:AA7"/>
    <mergeCell ref="AC7:AD7"/>
    <mergeCell ref="AE7:AF7"/>
    <mergeCell ref="A8:M8"/>
    <mergeCell ref="O8:AA8"/>
    <mergeCell ref="E1:V1"/>
    <mergeCell ref="A3:AA3"/>
    <mergeCell ref="AC3:AE3"/>
    <mergeCell ref="A5:E5"/>
    <mergeCell ref="U5:X5"/>
    <mergeCell ref="Y5:AA5"/>
    <mergeCell ref="O5:T5"/>
    <mergeCell ref="F5:K5"/>
    <mergeCell ref="L5:N5"/>
  </mergeCells>
  <conditionalFormatting sqref="A41">
    <cfRule type="cellIs" dxfId="19" priority="20" stopIfTrue="1" operator="greaterThan">
      <formula>$C$41</formula>
    </cfRule>
  </conditionalFormatting>
  <conditionalFormatting sqref="C41">
    <cfRule type="cellIs" dxfId="18" priority="10" stopIfTrue="1" operator="greaterThan">
      <formula>$A$41</formula>
    </cfRule>
    <cfRule type="cellIs" dxfId="17" priority="11" stopIfTrue="1" operator="greaterThan">
      <formula>$A$41</formula>
    </cfRule>
  </conditionalFormatting>
  <conditionalFormatting sqref="D41">
    <cfRule type="cellIs" dxfId="16" priority="19" stopIfTrue="1" operator="greaterThan">
      <formula>$F$41</formula>
    </cfRule>
  </conditionalFormatting>
  <conditionalFormatting sqref="F41">
    <cfRule type="cellIs" dxfId="15" priority="9" stopIfTrue="1" operator="greaterThan">
      <formula>$D$41</formula>
    </cfRule>
  </conditionalFormatting>
  <conditionalFormatting sqref="G41">
    <cfRule type="cellIs" dxfId="14" priority="18" stopIfTrue="1" operator="greaterThan">
      <formula>$I$41</formula>
    </cfRule>
  </conditionalFormatting>
  <conditionalFormatting sqref="I41">
    <cfRule type="cellIs" dxfId="13" priority="8" stopIfTrue="1" operator="greaterThan">
      <formula>$G$41</formula>
    </cfRule>
  </conditionalFormatting>
  <conditionalFormatting sqref="J41">
    <cfRule type="cellIs" dxfId="12" priority="17" stopIfTrue="1" operator="greaterThan">
      <formula>$L$41</formula>
    </cfRule>
  </conditionalFormatting>
  <conditionalFormatting sqref="L41">
    <cfRule type="cellIs" dxfId="11" priority="7" stopIfTrue="1" operator="greaterThan">
      <formula>$J$41</formula>
    </cfRule>
  </conditionalFormatting>
  <conditionalFormatting sqref="M41">
    <cfRule type="cellIs" dxfId="10" priority="16" stopIfTrue="1" operator="greaterThan">
      <formula>$O$41</formula>
    </cfRule>
  </conditionalFormatting>
  <conditionalFormatting sqref="O41">
    <cfRule type="cellIs" dxfId="9" priority="6" stopIfTrue="1" operator="greaterThan">
      <formula>$M$41</formula>
    </cfRule>
  </conditionalFormatting>
  <conditionalFormatting sqref="P41">
    <cfRule type="cellIs" dxfId="8" priority="15" stopIfTrue="1" operator="greaterThan">
      <formula>$R$41</formula>
    </cfRule>
  </conditionalFormatting>
  <conditionalFormatting sqref="R41">
    <cfRule type="cellIs" dxfId="7" priority="5" stopIfTrue="1" operator="greaterThan">
      <formula>$P$41</formula>
    </cfRule>
  </conditionalFormatting>
  <conditionalFormatting sqref="S41">
    <cfRule type="cellIs" dxfId="6" priority="14" stopIfTrue="1" operator="greaterThan">
      <formula>$U$41</formula>
    </cfRule>
  </conditionalFormatting>
  <conditionalFormatting sqref="U41">
    <cfRule type="cellIs" dxfId="5" priority="1" stopIfTrue="1" operator="greaterThan">
      <formula>$S$41</formula>
    </cfRule>
    <cfRule type="cellIs" dxfId="4" priority="4" stopIfTrue="1" operator="greaterThan">
      <formula>$U$41</formula>
    </cfRule>
  </conditionalFormatting>
  <conditionalFormatting sqref="V41">
    <cfRule type="cellIs" dxfId="3" priority="13" stopIfTrue="1" operator="greaterThan">
      <formula>$X$41</formula>
    </cfRule>
  </conditionalFormatting>
  <conditionalFormatting sqref="X41">
    <cfRule type="cellIs" dxfId="2" priority="3" stopIfTrue="1" operator="greaterThan">
      <formula>$V$41</formula>
    </cfRule>
  </conditionalFormatting>
  <conditionalFormatting sqref="Y41">
    <cfRule type="cellIs" dxfId="1" priority="12" stopIfTrue="1" operator="greaterThan">
      <formula>$AA$41</formula>
    </cfRule>
  </conditionalFormatting>
  <conditionalFormatting sqref="AA41">
    <cfRule type="cellIs" dxfId="0" priority="2" stopIfTrue="1" operator="greaterThan">
      <formula>$Y$41</formula>
    </cfRule>
  </conditionalFormatting>
  <hyperlinks>
    <hyperlink ref="R45" r:id="rId1" xr:uid="{00000000-0004-0000-4900-000000000000}"/>
  </hyperlinks>
  <printOptions horizontalCentered="1" verticalCentered="1"/>
  <pageMargins left="0.39370078740157483" right="0.35433070866141736" top="0.55118110236220474" bottom="0.27559055118110237" header="0.27559055118110237" footer="0.15748031496062992"/>
  <pageSetup paperSize="9" orientation="portrait" r:id="rId2"/>
  <headerFooter>
    <oddHeader>&amp;L&amp;G&amp;RCupkommission &amp;"Arial,Fett"&amp;11CUPKO</oddHeader>
  </headerFooter>
  <legacyDrawing r:id="rId3"/>
  <legacyDrawingHF r:id="rId4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indexed="11"/>
  </sheetPr>
  <dimension ref="A1:AO61"/>
  <sheetViews>
    <sheetView workbookViewId="0"/>
  </sheetViews>
  <sheetFormatPr baseColWidth="10" defaultColWidth="11.453125" defaultRowHeight="12.5"/>
  <cols>
    <col min="1" max="1" width="2.81640625" customWidth="1"/>
    <col min="2" max="2" width="3.26953125" customWidth="1"/>
    <col min="3" max="3" width="4.1796875" customWidth="1"/>
    <col min="4" max="20" width="3.26953125" customWidth="1"/>
    <col min="21" max="21" width="4.453125" customWidth="1"/>
    <col min="22" max="37" width="3.26953125" customWidth="1"/>
    <col min="38" max="38" width="2.7265625" bestFit="1" customWidth="1"/>
    <col min="39" max="41" width="11.453125" bestFit="1" customWidth="1"/>
  </cols>
  <sheetData>
    <row r="1" spans="1:38" s="11" customFormat="1" ht="21" customHeight="1">
      <c r="B1" s="122"/>
      <c r="C1" s="123"/>
      <c r="D1" s="123"/>
      <c r="E1" s="123"/>
      <c r="F1" s="570"/>
      <c r="G1" s="570"/>
      <c r="H1" s="1561" t="str">
        <f>'Final 2024'!E1</f>
        <v>37. Schweizer Cup Männer 2025</v>
      </c>
      <c r="I1" s="1562"/>
      <c r="J1" s="1562"/>
      <c r="K1" s="1562"/>
      <c r="L1" s="1562"/>
      <c r="M1" s="1562"/>
      <c r="N1" s="1562"/>
      <c r="O1" s="1562"/>
      <c r="P1" s="1562"/>
      <c r="Q1" s="1562"/>
      <c r="R1" s="1562"/>
      <c r="S1" s="1562"/>
      <c r="T1" s="1562"/>
      <c r="U1" s="1562"/>
      <c r="V1" s="1562"/>
      <c r="W1" s="1562"/>
      <c r="X1" s="1562"/>
      <c r="Y1" s="1562"/>
      <c r="Z1" s="1562"/>
      <c r="AA1" s="1562"/>
      <c r="AB1" s="1562"/>
      <c r="AC1" s="1562"/>
      <c r="AD1" s="1562"/>
      <c r="AE1" s="1562"/>
      <c r="AF1" s="1562"/>
      <c r="AG1" s="1562"/>
      <c r="AH1" s="1562"/>
      <c r="AI1" s="1562"/>
      <c r="AJ1" s="1562"/>
      <c r="AK1" s="1563"/>
    </row>
    <row r="2" spans="1:38" s="12" customFormat="1" ht="24" customHeight="1" thickBot="1">
      <c r="B2" s="128"/>
      <c r="C2" s="127"/>
      <c r="D2" s="127"/>
      <c r="E2" s="127"/>
      <c r="F2" s="119"/>
      <c r="G2" s="119"/>
      <c r="H2" s="1564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  <c r="W2" s="1565"/>
      <c r="X2" s="1565"/>
      <c r="Y2" s="1565"/>
      <c r="Z2" s="1565"/>
      <c r="AA2" s="1565"/>
      <c r="AB2" s="1565"/>
      <c r="AC2" s="1565"/>
      <c r="AD2" s="1565"/>
      <c r="AE2" s="1565"/>
      <c r="AF2" s="1565"/>
      <c r="AG2" s="1565"/>
      <c r="AH2" s="1565"/>
      <c r="AI2" s="1565"/>
      <c r="AJ2" s="1565"/>
      <c r="AK2" s="1566"/>
    </row>
    <row r="3" spans="1:38" s="9" customFormat="1" ht="7" customHeight="1" thickBot="1">
      <c r="B3" s="124"/>
      <c r="C3" s="13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K3" s="572"/>
    </row>
    <row r="4" spans="1:38" s="16" customFormat="1" ht="24" customHeight="1" thickBot="1">
      <c r="B4" s="121"/>
      <c r="C4"/>
      <c r="D4"/>
      <c r="E4"/>
      <c r="F4"/>
      <c r="G4" s="397"/>
      <c r="H4" s="1567" t="s">
        <v>104</v>
      </c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8"/>
      <c r="V4" s="1568"/>
      <c r="W4" s="1568"/>
      <c r="X4" s="1568"/>
      <c r="Y4" s="1568"/>
      <c r="Z4" s="1568"/>
      <c r="AA4" s="1568"/>
      <c r="AB4" s="1568"/>
      <c r="AC4" s="1568"/>
      <c r="AD4" s="1568"/>
      <c r="AE4" s="1568"/>
      <c r="AF4" s="1569"/>
      <c r="AG4" s="1570" t="s">
        <v>161</v>
      </c>
      <c r="AH4" s="1568"/>
      <c r="AI4" s="1568"/>
      <c r="AJ4" s="1568"/>
      <c r="AK4" s="1569"/>
    </row>
    <row r="5" spans="1:38" ht="6" customHeight="1" thickBot="1">
      <c r="B5" s="573"/>
      <c r="C5" s="9"/>
      <c r="D5" s="9"/>
      <c r="E5" s="9"/>
      <c r="F5" s="9"/>
      <c r="G5" s="9"/>
      <c r="R5" s="9"/>
      <c r="S5" s="9"/>
      <c r="AK5" s="118"/>
    </row>
    <row r="6" spans="1:38" s="1" customFormat="1" ht="20.149999999999999" customHeight="1" thickBot="1">
      <c r="B6" s="1326" t="s">
        <v>105</v>
      </c>
      <c r="C6" s="1320"/>
      <c r="D6" s="1320"/>
      <c r="E6" s="1320"/>
      <c r="F6" s="1343">
        <f>'Final 2024'!F5</f>
        <v>45920</v>
      </c>
      <c r="G6" s="1343"/>
      <c r="H6" s="1343"/>
      <c r="I6" s="1343"/>
      <c r="J6" s="1343"/>
      <c r="K6" s="1320" t="s">
        <v>324</v>
      </c>
      <c r="L6" s="1320"/>
      <c r="M6" s="1321" t="e">
        <f>'Final 2024'!G15</f>
        <v>#N/A</v>
      </c>
      <c r="N6" s="1321"/>
      <c r="O6" s="1321"/>
      <c r="P6" s="1320" t="s">
        <v>323</v>
      </c>
      <c r="Q6" s="1320"/>
      <c r="R6" s="1320"/>
      <c r="S6" s="1320"/>
      <c r="T6" s="1409" t="e">
        <f>'Final 2024'!L15&amp;" "&amp;'Final 2024'!T15</f>
        <v>#N/A</v>
      </c>
      <c r="U6" s="1320"/>
      <c r="V6" s="1320"/>
      <c r="W6" s="1320"/>
      <c r="X6" s="1320"/>
      <c r="Y6" s="1320"/>
      <c r="Z6" s="1320"/>
      <c r="AA6" s="1320"/>
      <c r="AB6" s="1320"/>
      <c r="AC6" s="1320"/>
      <c r="AD6" s="1320"/>
      <c r="AE6" s="1348" t="s">
        <v>106</v>
      </c>
      <c r="AF6" s="1348"/>
      <c r="AG6" s="1348"/>
      <c r="AH6" s="1348"/>
      <c r="AI6" s="1320">
        <f>'Final 2024'!Y5</f>
        <v>31</v>
      </c>
      <c r="AJ6" s="1320"/>
      <c r="AK6" s="1349"/>
    </row>
    <row r="7" spans="1:38" s="1" customFormat="1" ht="6" customHeight="1" thickBot="1">
      <c r="B7" s="574"/>
      <c r="C7" s="182"/>
      <c r="D7" s="182"/>
      <c r="E7" s="182"/>
      <c r="F7" s="182"/>
      <c r="G7" s="182"/>
      <c r="R7" s="182"/>
      <c r="S7" s="182"/>
      <c r="AA7" s="182"/>
      <c r="AC7" s="182"/>
      <c r="AD7" s="182"/>
      <c r="AE7" s="182"/>
      <c r="AK7" s="126"/>
    </row>
    <row r="8" spans="1:38" s="323" customFormat="1" ht="20.149999999999999" customHeight="1">
      <c r="A8" s="669"/>
      <c r="B8" s="1322" t="s">
        <v>107</v>
      </c>
      <c r="C8" s="1323"/>
      <c r="D8" s="1323"/>
      <c r="E8" s="1323"/>
      <c r="F8" s="1323"/>
      <c r="G8" s="1323"/>
      <c r="H8" s="1575" t="str">
        <f>'Final 2024'!A8</f>
        <v>STV Affeltrangen  ( NLA )</v>
      </c>
      <c r="I8" s="1575"/>
      <c r="J8" s="1575"/>
      <c r="K8" s="1575"/>
      <c r="L8" s="1575"/>
      <c r="M8" s="1575"/>
      <c r="N8" s="1575"/>
      <c r="O8" s="1575"/>
      <c r="P8" s="1575"/>
      <c r="Q8" s="1575"/>
      <c r="R8" s="1576"/>
      <c r="S8" s="1573" t="s">
        <v>108</v>
      </c>
      <c r="T8" s="1322" t="s">
        <v>109</v>
      </c>
      <c r="U8" s="1323"/>
      <c r="V8" s="1323"/>
      <c r="W8" s="1323"/>
      <c r="X8" s="1323"/>
      <c r="Y8" s="1323"/>
      <c r="Z8" s="1324" t="e">
        <f>'Final 2024'!O8</f>
        <v>#N/A</v>
      </c>
      <c r="AA8" s="1324"/>
      <c r="AB8" s="1324"/>
      <c r="AC8" s="1324"/>
      <c r="AD8" s="1324"/>
      <c r="AE8" s="1324"/>
      <c r="AF8" s="1324"/>
      <c r="AG8" s="1324"/>
      <c r="AH8" s="1324"/>
      <c r="AI8" s="1324"/>
      <c r="AJ8" s="1325"/>
      <c r="AK8" s="1571" t="s">
        <v>108</v>
      </c>
    </row>
    <row r="9" spans="1:38" s="19" customFormat="1" ht="17.25" customHeight="1">
      <c r="A9" s="668"/>
      <c r="B9" s="667" t="s">
        <v>110</v>
      </c>
      <c r="C9" s="666"/>
      <c r="D9" s="666" t="s">
        <v>111</v>
      </c>
      <c r="E9" s="666" t="s">
        <v>112</v>
      </c>
      <c r="F9" s="666" t="s">
        <v>322</v>
      </c>
      <c r="G9" s="1551" t="s">
        <v>113</v>
      </c>
      <c r="H9" s="1552"/>
      <c r="I9" s="1552"/>
      <c r="J9" s="1552"/>
      <c r="K9" s="1552"/>
      <c r="L9" s="1552"/>
      <c r="M9" s="1552"/>
      <c r="N9" s="1552"/>
      <c r="O9" s="1552"/>
      <c r="P9" s="1552"/>
      <c r="Q9" s="1552"/>
      <c r="R9" s="1553"/>
      <c r="S9" s="1574"/>
      <c r="T9" s="667" t="s">
        <v>110</v>
      </c>
      <c r="U9" s="666"/>
      <c r="V9" s="666" t="s">
        <v>111</v>
      </c>
      <c r="W9" s="666" t="s">
        <v>112</v>
      </c>
      <c r="X9" s="666" t="s">
        <v>322</v>
      </c>
      <c r="Y9" s="1551" t="s">
        <v>113</v>
      </c>
      <c r="Z9" s="1552"/>
      <c r="AA9" s="1552"/>
      <c r="AB9" s="1552"/>
      <c r="AC9" s="1552"/>
      <c r="AD9" s="1552"/>
      <c r="AE9" s="1552"/>
      <c r="AF9" s="1552"/>
      <c r="AG9" s="1552"/>
      <c r="AH9" s="1552"/>
      <c r="AI9" s="1552"/>
      <c r="AJ9" s="1553"/>
      <c r="AK9" s="1572"/>
    </row>
    <row r="10" spans="1:38" s="576" customFormat="1" ht="17.149999999999999" customHeight="1">
      <c r="A10" s="504">
        <v>1</v>
      </c>
      <c r="B10" s="663">
        <v>1</v>
      </c>
      <c r="C10" s="662"/>
      <c r="D10" s="660"/>
      <c r="E10" s="660"/>
      <c r="F10" s="674"/>
      <c r="G10" s="1547" t="s">
        <v>1024</v>
      </c>
      <c r="H10" s="1548"/>
      <c r="I10" s="1548"/>
      <c r="J10" s="1548"/>
      <c r="K10" s="1548"/>
      <c r="L10" s="1548"/>
      <c r="M10" s="1548"/>
      <c r="N10" s="1548"/>
      <c r="O10" s="1548"/>
      <c r="P10" s="1548"/>
      <c r="Q10" s="1548"/>
      <c r="R10" s="1549"/>
      <c r="S10" s="664"/>
      <c r="T10" s="663">
        <v>1</v>
      </c>
      <c r="U10" s="662"/>
      <c r="V10" s="661"/>
      <c r="W10" s="660"/>
      <c r="X10" s="659"/>
      <c r="Y10" s="1547" t="s">
        <v>825</v>
      </c>
      <c r="Z10" s="1548"/>
      <c r="AA10" s="1548"/>
      <c r="AB10" s="1548"/>
      <c r="AC10" s="1548"/>
      <c r="AD10" s="1548"/>
      <c r="AE10" s="1548"/>
      <c r="AF10" s="1548"/>
      <c r="AG10" s="1548"/>
      <c r="AH10" s="1548"/>
      <c r="AI10" s="1548"/>
      <c r="AJ10" s="1549"/>
      <c r="AK10" s="658"/>
      <c r="AL10" s="371">
        <v>1</v>
      </c>
    </row>
    <row r="11" spans="1:38" s="576" customFormat="1" ht="17.149999999999999" customHeight="1">
      <c r="A11" s="504">
        <v>2</v>
      </c>
      <c r="B11" s="663">
        <v>2</v>
      </c>
      <c r="C11" s="662"/>
      <c r="D11" s="660"/>
      <c r="E11" s="660"/>
      <c r="F11" s="674"/>
      <c r="G11" s="1547" t="s">
        <v>1025</v>
      </c>
      <c r="H11" s="1548"/>
      <c r="I11" s="1548"/>
      <c r="J11" s="1548"/>
      <c r="K11" s="1548"/>
      <c r="L11" s="1548"/>
      <c r="M11" s="1548"/>
      <c r="N11" s="1548"/>
      <c r="O11" s="1548"/>
      <c r="P11" s="1548"/>
      <c r="Q11" s="1548"/>
      <c r="R11" s="1549"/>
      <c r="S11" s="664"/>
      <c r="T11" s="663">
        <v>2</v>
      </c>
      <c r="U11" s="662"/>
      <c r="V11" s="661"/>
      <c r="W11" s="660"/>
      <c r="X11" s="659"/>
      <c r="Y11" s="1547" t="s">
        <v>826</v>
      </c>
      <c r="Z11" s="1548"/>
      <c r="AA11" s="1548"/>
      <c r="AB11" s="1548"/>
      <c r="AC11" s="1548"/>
      <c r="AD11" s="1548"/>
      <c r="AE11" s="1548"/>
      <c r="AF11" s="1548"/>
      <c r="AG11" s="1548"/>
      <c r="AH11" s="1548"/>
      <c r="AI11" s="1548"/>
      <c r="AJ11" s="1549"/>
      <c r="AK11" s="658"/>
      <c r="AL11" s="504">
        <v>2</v>
      </c>
    </row>
    <row r="12" spans="1:38" s="576" customFormat="1" ht="17.149999999999999" customHeight="1">
      <c r="A12" s="504">
        <v>3</v>
      </c>
      <c r="B12" s="663">
        <v>3</v>
      </c>
      <c r="C12" s="662"/>
      <c r="D12" s="660"/>
      <c r="E12" s="660"/>
      <c r="F12" s="674"/>
      <c r="G12" s="1547" t="s">
        <v>1026</v>
      </c>
      <c r="H12" s="1548"/>
      <c r="I12" s="1548"/>
      <c r="J12" s="1548"/>
      <c r="K12" s="1548"/>
      <c r="L12" s="1548"/>
      <c r="M12" s="1548"/>
      <c r="N12" s="1548"/>
      <c r="O12" s="1548"/>
      <c r="P12" s="1548"/>
      <c r="Q12" s="1548"/>
      <c r="R12" s="1549"/>
      <c r="S12" s="664"/>
      <c r="T12" s="663">
        <v>4</v>
      </c>
      <c r="U12" s="662"/>
      <c r="V12" s="661"/>
      <c r="W12" s="660"/>
      <c r="X12" s="659"/>
      <c r="Y12" s="1547" t="s">
        <v>827</v>
      </c>
      <c r="Z12" s="1548"/>
      <c r="AA12" s="1548"/>
      <c r="AB12" s="1548"/>
      <c r="AC12" s="1548"/>
      <c r="AD12" s="1548"/>
      <c r="AE12" s="1548"/>
      <c r="AF12" s="1548"/>
      <c r="AG12" s="1548"/>
      <c r="AH12" s="1548"/>
      <c r="AI12" s="1548"/>
      <c r="AJ12" s="1549"/>
      <c r="AK12" s="658"/>
      <c r="AL12" s="371">
        <v>3</v>
      </c>
    </row>
    <row r="13" spans="1:38" s="576" customFormat="1" ht="17.149999999999999" customHeight="1">
      <c r="A13" s="504">
        <v>4</v>
      </c>
      <c r="B13" s="663">
        <v>4</v>
      </c>
      <c r="C13" s="662"/>
      <c r="D13" s="660"/>
      <c r="E13" s="660"/>
      <c r="F13" s="674"/>
      <c r="G13" s="1547" t="s">
        <v>1027</v>
      </c>
      <c r="H13" s="1548"/>
      <c r="I13" s="1548"/>
      <c r="J13" s="1548"/>
      <c r="K13" s="1548"/>
      <c r="L13" s="1548"/>
      <c r="M13" s="1548"/>
      <c r="N13" s="1548"/>
      <c r="O13" s="1548"/>
      <c r="P13" s="1548"/>
      <c r="Q13" s="1548"/>
      <c r="R13" s="1549"/>
      <c r="S13" s="664"/>
      <c r="T13" s="663">
        <v>6</v>
      </c>
      <c r="U13" s="662"/>
      <c r="V13" s="661"/>
      <c r="W13" s="660"/>
      <c r="X13" s="659"/>
      <c r="Y13" s="1547" t="s">
        <v>828</v>
      </c>
      <c r="Z13" s="1548"/>
      <c r="AA13" s="1548"/>
      <c r="AB13" s="1548"/>
      <c r="AC13" s="1548"/>
      <c r="AD13" s="1548"/>
      <c r="AE13" s="1548"/>
      <c r="AF13" s="1548"/>
      <c r="AG13" s="1548"/>
      <c r="AH13" s="1548"/>
      <c r="AI13" s="1548"/>
      <c r="AJ13" s="1549"/>
      <c r="AK13" s="658"/>
      <c r="AL13" s="504">
        <v>4</v>
      </c>
    </row>
    <row r="14" spans="1:38" s="576" customFormat="1" ht="17.149999999999999" customHeight="1">
      <c r="A14" s="504">
        <v>5</v>
      </c>
      <c r="B14" s="663">
        <v>5</v>
      </c>
      <c r="C14" s="662"/>
      <c r="D14" s="660"/>
      <c r="E14" s="660"/>
      <c r="F14" s="674"/>
      <c r="G14" s="1547" t="s">
        <v>1028</v>
      </c>
      <c r="H14" s="1548"/>
      <c r="I14" s="1548"/>
      <c r="J14" s="1548"/>
      <c r="K14" s="1548"/>
      <c r="L14" s="1548"/>
      <c r="M14" s="1548"/>
      <c r="N14" s="1548"/>
      <c r="O14" s="1548"/>
      <c r="P14" s="1548"/>
      <c r="Q14" s="1548"/>
      <c r="R14" s="1549"/>
      <c r="S14" s="664"/>
      <c r="T14" s="663">
        <v>7</v>
      </c>
      <c r="U14" s="662"/>
      <c r="V14" s="661"/>
      <c r="W14" s="660"/>
      <c r="X14" s="659"/>
      <c r="Y14" s="1547" t="s">
        <v>829</v>
      </c>
      <c r="Z14" s="1548"/>
      <c r="AA14" s="1548"/>
      <c r="AB14" s="1548"/>
      <c r="AC14" s="1548"/>
      <c r="AD14" s="1548"/>
      <c r="AE14" s="1548"/>
      <c r="AF14" s="1548"/>
      <c r="AG14" s="1548"/>
      <c r="AH14" s="1548"/>
      <c r="AI14" s="1548"/>
      <c r="AJ14" s="1549"/>
      <c r="AK14" s="658"/>
      <c r="AL14" s="371">
        <v>5</v>
      </c>
    </row>
    <row r="15" spans="1:38" s="576" customFormat="1" ht="17.149999999999999" customHeight="1">
      <c r="A15" s="504">
        <v>6</v>
      </c>
      <c r="B15" s="663">
        <v>6</v>
      </c>
      <c r="C15" s="662"/>
      <c r="D15" s="660"/>
      <c r="E15" s="660"/>
      <c r="F15" s="674"/>
      <c r="G15" s="1547" t="s">
        <v>1029</v>
      </c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  <c r="R15" s="1549"/>
      <c r="S15" s="664"/>
      <c r="T15" s="663">
        <v>9</v>
      </c>
      <c r="U15" s="662"/>
      <c r="V15" s="665"/>
      <c r="W15" s="660"/>
      <c r="X15" s="659"/>
      <c r="Y15" s="1547" t="s">
        <v>830</v>
      </c>
      <c r="Z15" s="1548"/>
      <c r="AA15" s="1548"/>
      <c r="AB15" s="1548"/>
      <c r="AC15" s="1548"/>
      <c r="AD15" s="1548"/>
      <c r="AE15" s="1548"/>
      <c r="AF15" s="1548"/>
      <c r="AG15" s="1548"/>
      <c r="AH15" s="1548"/>
      <c r="AI15" s="1548"/>
      <c r="AJ15" s="1549"/>
      <c r="AK15" s="658"/>
      <c r="AL15" s="504">
        <v>6</v>
      </c>
    </row>
    <row r="16" spans="1:38" s="576" customFormat="1" ht="17.149999999999999" customHeight="1">
      <c r="A16" s="504">
        <v>7</v>
      </c>
      <c r="B16" s="663">
        <v>7</v>
      </c>
      <c r="C16" s="662"/>
      <c r="D16" s="660"/>
      <c r="E16" s="660"/>
      <c r="F16" s="674"/>
      <c r="G16" s="1547" t="s">
        <v>1030</v>
      </c>
      <c r="H16" s="1548"/>
      <c r="I16" s="1548"/>
      <c r="J16" s="1548"/>
      <c r="K16" s="1548"/>
      <c r="L16" s="1548"/>
      <c r="M16" s="1548"/>
      <c r="N16" s="1548"/>
      <c r="O16" s="1548"/>
      <c r="P16" s="1548"/>
      <c r="Q16" s="1548"/>
      <c r="R16" s="1549"/>
      <c r="S16" s="664"/>
      <c r="T16" s="663">
        <v>10</v>
      </c>
      <c r="U16" s="662"/>
      <c r="V16" s="665" t="s">
        <v>416</v>
      </c>
      <c r="W16" s="660"/>
      <c r="X16" s="659"/>
      <c r="Y16" s="1547" t="s">
        <v>831</v>
      </c>
      <c r="Z16" s="1548"/>
      <c r="AA16" s="1548"/>
      <c r="AB16" s="1548"/>
      <c r="AC16" s="1548"/>
      <c r="AD16" s="1548"/>
      <c r="AE16" s="1548"/>
      <c r="AF16" s="1548"/>
      <c r="AG16" s="1548"/>
      <c r="AH16" s="1548"/>
      <c r="AI16" s="1548"/>
      <c r="AJ16" s="1549"/>
      <c r="AK16" s="658"/>
      <c r="AL16" s="371">
        <v>7</v>
      </c>
    </row>
    <row r="17" spans="1:41" s="576" customFormat="1" ht="17.149999999999999" customHeight="1">
      <c r="A17" s="504">
        <v>8</v>
      </c>
      <c r="B17" s="663">
        <v>8</v>
      </c>
      <c r="C17" s="662"/>
      <c r="D17" s="660"/>
      <c r="E17" s="660"/>
      <c r="F17" s="674"/>
      <c r="G17" s="1547" t="s">
        <v>1031</v>
      </c>
      <c r="H17" s="1548"/>
      <c r="I17" s="1548"/>
      <c r="J17" s="1548"/>
      <c r="K17" s="1548"/>
      <c r="L17" s="1548"/>
      <c r="M17" s="1548"/>
      <c r="N17" s="1548"/>
      <c r="O17" s="1548"/>
      <c r="P17" s="1548"/>
      <c r="Q17" s="1548"/>
      <c r="R17" s="1549"/>
      <c r="S17" s="664"/>
      <c r="T17" s="663">
        <v>18</v>
      </c>
      <c r="U17" s="662"/>
      <c r="V17" s="665"/>
      <c r="W17" s="660"/>
      <c r="X17" s="659" t="s">
        <v>134</v>
      </c>
      <c r="Y17" s="1547" t="s">
        <v>832</v>
      </c>
      <c r="Z17" s="1548"/>
      <c r="AA17" s="1548"/>
      <c r="AB17" s="1548"/>
      <c r="AC17" s="1548"/>
      <c r="AD17" s="1548"/>
      <c r="AE17" s="1548"/>
      <c r="AF17" s="1548"/>
      <c r="AG17" s="1548"/>
      <c r="AH17" s="1548"/>
      <c r="AI17" s="1548"/>
      <c r="AJ17" s="1549" t="s">
        <v>134</v>
      </c>
      <c r="AK17" s="658"/>
      <c r="AL17" s="504">
        <v>8</v>
      </c>
      <c r="AN17" s="23"/>
      <c r="AO17" s="22"/>
    </row>
    <row r="18" spans="1:41" s="576" customFormat="1" ht="17.149999999999999" customHeight="1">
      <c r="A18" s="504">
        <v>9</v>
      </c>
      <c r="B18" s="663"/>
      <c r="C18" s="662"/>
      <c r="D18" s="660"/>
      <c r="E18" s="660"/>
      <c r="F18" s="674"/>
      <c r="G18" s="1547"/>
      <c r="H18" s="1548"/>
      <c r="I18" s="1548"/>
      <c r="J18" s="1548"/>
      <c r="K18" s="1548"/>
      <c r="L18" s="1548"/>
      <c r="M18" s="1548"/>
      <c r="N18" s="1548"/>
      <c r="O18" s="1548"/>
      <c r="P18" s="1548"/>
      <c r="Q18" s="1548"/>
      <c r="R18" s="1549"/>
      <c r="S18" s="664"/>
      <c r="T18" s="663"/>
      <c r="U18" s="662"/>
      <c r="V18" s="661"/>
      <c r="W18" s="660"/>
      <c r="X18" s="659" t="s">
        <v>134</v>
      </c>
      <c r="Y18" s="1557" t="s">
        <v>134</v>
      </c>
      <c r="Z18" s="1558"/>
      <c r="AA18" s="1558"/>
      <c r="AB18" s="1558"/>
      <c r="AC18" s="1558"/>
      <c r="AD18" s="1558"/>
      <c r="AE18" s="1558"/>
      <c r="AF18" s="1558"/>
      <c r="AG18" s="1558"/>
      <c r="AH18" s="1558"/>
      <c r="AI18" s="1558"/>
      <c r="AJ18" s="1559" t="s">
        <v>134</v>
      </c>
      <c r="AK18" s="658"/>
      <c r="AL18" s="371">
        <v>9</v>
      </c>
    </row>
    <row r="19" spans="1:41" s="576" customFormat="1" ht="17.149999999999999" customHeight="1" thickBot="1">
      <c r="A19" s="504">
        <v>10</v>
      </c>
      <c r="B19" s="656"/>
      <c r="C19" s="655"/>
      <c r="D19" s="653"/>
      <c r="E19" s="653"/>
      <c r="F19" s="675" t="s">
        <v>134</v>
      </c>
      <c r="G19" s="1554" t="s">
        <v>134</v>
      </c>
      <c r="H19" s="1555"/>
      <c r="I19" s="1555"/>
      <c r="J19" s="1555"/>
      <c r="K19" s="1555"/>
      <c r="L19" s="1555"/>
      <c r="M19" s="1555"/>
      <c r="N19" s="1555"/>
      <c r="O19" s="1555"/>
      <c r="P19" s="1555"/>
      <c r="Q19" s="1555"/>
      <c r="R19" s="1560"/>
      <c r="S19" s="657"/>
      <c r="T19" s="656"/>
      <c r="U19" s="655"/>
      <c r="V19" s="654"/>
      <c r="W19" s="653"/>
      <c r="X19" s="652" t="s">
        <v>134</v>
      </c>
      <c r="Y19" s="1544" t="s">
        <v>134</v>
      </c>
      <c r="Z19" s="1545"/>
      <c r="AA19" s="1545"/>
      <c r="AB19" s="1545"/>
      <c r="AC19" s="1545"/>
      <c r="AD19" s="1545"/>
      <c r="AE19" s="1545"/>
      <c r="AF19" s="1545"/>
      <c r="AG19" s="1545"/>
      <c r="AH19" s="1545"/>
      <c r="AI19" s="1545"/>
      <c r="AJ19" s="1546"/>
      <c r="AK19" s="651"/>
      <c r="AL19" s="504">
        <v>10</v>
      </c>
    </row>
    <row r="20" spans="1:41" s="576" customFormat="1" ht="17.149999999999999" customHeight="1">
      <c r="B20" s="1489" t="s">
        <v>114</v>
      </c>
      <c r="C20" s="1490"/>
      <c r="D20" s="1490"/>
      <c r="E20" s="1490"/>
      <c r="F20" s="1490"/>
      <c r="G20" s="1493" t="s">
        <v>1032</v>
      </c>
      <c r="H20" s="1494"/>
      <c r="I20" s="1494"/>
      <c r="J20" s="1494"/>
      <c r="K20" s="1494"/>
      <c r="L20" s="1494"/>
      <c r="M20" s="1494"/>
      <c r="N20" s="1494"/>
      <c r="O20" s="1494"/>
      <c r="P20" s="1494"/>
      <c r="Q20" s="1494"/>
      <c r="R20" s="1494"/>
      <c r="S20" s="1495"/>
      <c r="T20" s="1329" t="s">
        <v>115</v>
      </c>
      <c r="U20" s="1330"/>
      <c r="V20" s="1330"/>
      <c r="W20" s="1330"/>
      <c r="X20" s="1330"/>
      <c r="Y20" s="1550" t="e">
        <f>'Final 2024'!O9</f>
        <v>#N/A</v>
      </c>
      <c r="Z20" s="1494"/>
      <c r="AA20" s="1494"/>
      <c r="AB20" s="1494"/>
      <c r="AC20" s="1494"/>
      <c r="AD20" s="1494"/>
      <c r="AE20" s="1494"/>
      <c r="AF20" s="1494"/>
      <c r="AG20" s="1494"/>
      <c r="AH20" s="1494"/>
      <c r="AI20" s="1494"/>
      <c r="AJ20" s="1494"/>
      <c r="AK20" s="1495"/>
    </row>
    <row r="21" spans="1:41" s="1" customFormat="1" ht="17.149999999999999" customHeight="1" thickBot="1">
      <c r="B21" s="1491" t="s">
        <v>116</v>
      </c>
      <c r="C21" s="1492"/>
      <c r="D21" s="1492"/>
      <c r="E21" s="1492"/>
      <c r="F21" s="1492"/>
      <c r="G21" s="1496" t="s">
        <v>1033</v>
      </c>
      <c r="H21" s="1497"/>
      <c r="I21" s="1497"/>
      <c r="J21" s="1497"/>
      <c r="K21" s="1497"/>
      <c r="L21" s="1497"/>
      <c r="M21" s="1497"/>
      <c r="N21" s="1497"/>
      <c r="O21" s="1497"/>
      <c r="P21" s="1497"/>
      <c r="Q21" s="1497"/>
      <c r="R21" s="1497"/>
      <c r="S21" s="1498"/>
      <c r="T21" s="1491" t="s">
        <v>116</v>
      </c>
      <c r="U21" s="1492"/>
      <c r="V21" s="1492"/>
      <c r="W21" s="1492"/>
      <c r="X21" s="1492"/>
      <c r="Y21" s="1554"/>
      <c r="Z21" s="1555"/>
      <c r="AA21" s="1555"/>
      <c r="AB21" s="1555"/>
      <c r="AC21" s="1555"/>
      <c r="AD21" s="1555"/>
      <c r="AE21" s="1555"/>
      <c r="AF21" s="1555"/>
      <c r="AG21" s="1555"/>
      <c r="AH21" s="1555"/>
      <c r="AI21" s="1555"/>
      <c r="AJ21" s="1555"/>
      <c r="AK21" s="1556"/>
    </row>
    <row r="22" spans="1:41" ht="9" customHeight="1" thickBot="1">
      <c r="B22" s="575"/>
      <c r="C22" s="576"/>
      <c r="D22" s="30"/>
      <c r="E22" s="577"/>
      <c r="F22" s="577"/>
      <c r="G22" s="577"/>
      <c r="H22" s="32"/>
      <c r="I22" s="32"/>
      <c r="J22" s="32"/>
      <c r="K22" s="32"/>
      <c r="M22" s="32"/>
      <c r="N22" s="32"/>
      <c r="O22" s="32"/>
      <c r="P22" s="32"/>
      <c r="Q22" s="577"/>
      <c r="R22" s="2"/>
      <c r="S22" s="32"/>
      <c r="T22" s="32"/>
      <c r="U22" s="32"/>
      <c r="V22" s="32"/>
      <c r="W22" s="32"/>
      <c r="X22" s="33"/>
      <c r="Y22" s="32"/>
      <c r="Z22" s="32"/>
      <c r="AA22" s="32"/>
      <c r="AB22" s="32"/>
      <c r="AC22" s="32"/>
      <c r="AD22" s="32"/>
      <c r="AE22" s="32"/>
      <c r="AG22" s="32"/>
      <c r="AH22" s="32"/>
      <c r="AI22" s="32"/>
      <c r="AJ22" s="32"/>
      <c r="AK22" s="118"/>
    </row>
    <row r="23" spans="1:41" s="650" customFormat="1" ht="14.25" customHeight="1" thickBot="1">
      <c r="B23" s="1487" t="s">
        <v>117</v>
      </c>
      <c r="C23" s="1488"/>
      <c r="D23" s="1488"/>
      <c r="E23" s="1488"/>
      <c r="F23" s="1488"/>
      <c r="G23" s="1488"/>
      <c r="H23" s="1499" t="str">
        <f>'Final 2024'!A19</f>
        <v/>
      </c>
      <c r="I23" s="1499"/>
      <c r="J23" s="1499"/>
      <c r="K23" s="1499"/>
      <c r="L23" s="1499"/>
      <c r="M23" s="1499"/>
      <c r="N23" s="1499"/>
      <c r="O23" s="1499"/>
      <c r="P23" s="1499"/>
      <c r="Q23" s="1499"/>
      <c r="R23" s="1499" t="str">
        <f>'Final 2024'!J19</f>
        <v/>
      </c>
      <c r="S23" s="1414"/>
      <c r="T23" s="1414"/>
      <c r="U23" s="1414"/>
      <c r="V23" s="1414"/>
      <c r="W23" s="1414"/>
      <c r="X23" s="1414"/>
      <c r="Y23" s="1414"/>
      <c r="Z23" s="1414"/>
      <c r="AA23" s="1414"/>
      <c r="AB23" s="1500" t="str">
        <f>'Final 2024'!R19</f>
        <v/>
      </c>
      <c r="AC23" s="1501"/>
      <c r="AD23" s="1501"/>
      <c r="AE23" s="1501"/>
      <c r="AF23" s="1501"/>
      <c r="AG23" s="1501"/>
      <c r="AH23" s="1501"/>
      <c r="AI23" s="1501"/>
      <c r="AJ23" s="1501"/>
      <c r="AK23" s="1502"/>
    </row>
    <row r="24" spans="1:41" s="650" customFormat="1" ht="15" customHeight="1" thickBot="1">
      <c r="B24" s="578" t="s">
        <v>118</v>
      </c>
      <c r="C24" s="579"/>
      <c r="D24" s="580"/>
      <c r="E24" s="581"/>
      <c r="F24" s="581"/>
      <c r="G24" s="579"/>
      <c r="H24" s="1305"/>
      <c r="I24" s="1305"/>
      <c r="J24" s="1305"/>
      <c r="K24" s="1305"/>
      <c r="L24" s="1305"/>
      <c r="M24" s="1305"/>
      <c r="N24" s="1305"/>
      <c r="O24" s="1305"/>
      <c r="P24" s="1305"/>
      <c r="Q24" s="1305"/>
      <c r="R24" s="1305"/>
      <c r="S24" s="1513"/>
      <c r="T24" s="927" t="s">
        <v>823</v>
      </c>
      <c r="U24" s="1512"/>
      <c r="V24" s="1512"/>
      <c r="W24" s="1512"/>
      <c r="X24" s="1512"/>
      <c r="Y24" s="1512"/>
      <c r="Z24" s="1305"/>
      <c r="AA24" s="1305"/>
      <c r="AB24" s="1305"/>
      <c r="AC24" s="1305"/>
      <c r="AD24" s="1305"/>
      <c r="AE24" s="1305"/>
      <c r="AF24" s="1305"/>
      <c r="AG24" s="1305"/>
      <c r="AH24" s="1305"/>
      <c r="AI24" s="1305"/>
      <c r="AJ24" s="1305"/>
      <c r="AK24" s="1513"/>
    </row>
    <row r="25" spans="1:41" s="650" customFormat="1" ht="6" customHeight="1">
      <c r="B25" s="582"/>
      <c r="C25" s="332"/>
      <c r="D25" s="183"/>
      <c r="E25" s="571"/>
      <c r="F25" s="571"/>
      <c r="G25" s="33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571"/>
      <c r="T25" s="332"/>
      <c r="U25" s="332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26"/>
    </row>
    <row r="26" spans="1:41" s="1" customFormat="1" ht="16.5" customHeight="1">
      <c r="B26" s="1520" t="s">
        <v>119</v>
      </c>
      <c r="C26" s="1521"/>
      <c r="D26" s="1297"/>
      <c r="E26" s="1297"/>
      <c r="F26" s="1297"/>
      <c r="G26" s="1297"/>
      <c r="H26" s="571"/>
      <c r="I26" s="38" t="s">
        <v>321</v>
      </c>
      <c r="J26" s="230" t="s">
        <v>1</v>
      </c>
      <c r="K26" s="39"/>
      <c r="L26" s="230" t="s">
        <v>2</v>
      </c>
      <c r="M26" s="40"/>
      <c r="N26" s="41"/>
      <c r="O26" s="1300" t="s">
        <v>320</v>
      </c>
      <c r="P26" s="1300"/>
      <c r="Q26" s="1300"/>
      <c r="R26" s="230" t="s">
        <v>1</v>
      </c>
      <c r="S26" s="39"/>
      <c r="T26" s="230" t="s">
        <v>2</v>
      </c>
      <c r="U26" s="38"/>
      <c r="V26" s="40"/>
      <c r="W26" s="42"/>
      <c r="X26" s="43"/>
      <c r="Y26" s="42"/>
      <c r="Z26" s="42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126"/>
    </row>
    <row r="27" spans="1:41" ht="3" customHeight="1">
      <c r="B27" s="575"/>
      <c r="C27" s="576"/>
      <c r="D27" s="30"/>
      <c r="E27" s="577"/>
      <c r="F27" s="577"/>
      <c r="G27" s="577"/>
      <c r="H27" s="32"/>
      <c r="I27" s="32"/>
      <c r="J27" s="32"/>
      <c r="K27" s="32"/>
      <c r="M27" s="32"/>
      <c r="N27" s="32"/>
      <c r="O27" s="32"/>
      <c r="P27" s="32"/>
      <c r="Q27" s="577"/>
      <c r="R27" s="2"/>
      <c r="S27" s="32"/>
      <c r="T27" s="32"/>
      <c r="U27" s="32"/>
      <c r="V27" s="32"/>
      <c r="W27" s="32"/>
      <c r="X27" s="33"/>
      <c r="Y27" s="32"/>
      <c r="Z27" s="32"/>
      <c r="AA27" s="32"/>
      <c r="AB27" s="32"/>
      <c r="AC27" s="32"/>
      <c r="AD27" s="32"/>
      <c r="AE27" s="32"/>
      <c r="AK27" s="118"/>
    </row>
    <row r="28" spans="1:41" s="52" customFormat="1" ht="14.25" customHeight="1">
      <c r="B28" s="649" t="s">
        <v>120</v>
      </c>
      <c r="C28" s="644"/>
      <c r="D28" s="643"/>
      <c r="E28" s="646"/>
      <c r="F28" s="646"/>
      <c r="G28" s="646"/>
      <c r="H28" s="648"/>
      <c r="I28" s="645" t="s">
        <v>121</v>
      </c>
      <c r="J28" s="644" t="s">
        <v>122</v>
      </c>
      <c r="K28" s="644"/>
      <c r="L28" s="647"/>
      <c r="M28" s="646"/>
      <c r="N28" s="645" t="s">
        <v>121</v>
      </c>
      <c r="O28" s="644" t="s">
        <v>123</v>
      </c>
      <c r="P28" s="644"/>
      <c r="Q28" s="644"/>
      <c r="R28" s="645" t="s">
        <v>121</v>
      </c>
      <c r="S28" s="644" t="s">
        <v>124</v>
      </c>
      <c r="T28" s="644"/>
      <c r="U28" s="644"/>
      <c r="V28" s="644"/>
      <c r="W28" s="644" t="s">
        <v>125</v>
      </c>
      <c r="X28" s="644"/>
      <c r="Y28" s="644"/>
      <c r="Z28" s="644"/>
      <c r="AA28" s="644"/>
      <c r="AB28" s="643"/>
      <c r="AC28" s="643"/>
      <c r="AD28" s="643"/>
      <c r="AE28" s="643"/>
      <c r="AF28" s="643"/>
      <c r="AG28" s="642"/>
      <c r="AH28" s="641"/>
      <c r="AI28" s="640"/>
      <c r="AJ28" s="640"/>
      <c r="AK28" s="639"/>
    </row>
    <row r="29" spans="1:41" ht="5.15" customHeight="1" thickBot="1">
      <c r="B29" s="575"/>
      <c r="C29" s="576"/>
      <c r="D29" s="30"/>
      <c r="E29" s="577"/>
      <c r="F29" s="577"/>
      <c r="G29" s="577"/>
      <c r="H29" s="32"/>
      <c r="I29" s="32"/>
      <c r="J29" s="32"/>
      <c r="K29" s="32"/>
      <c r="M29" s="32"/>
      <c r="N29" s="32"/>
      <c r="O29" s="32"/>
      <c r="P29" s="32"/>
      <c r="Q29" s="577"/>
      <c r="R29" s="2"/>
      <c r="S29" s="32"/>
      <c r="T29" s="32"/>
      <c r="U29" s="32"/>
      <c r="V29" s="32"/>
      <c r="W29" s="32"/>
      <c r="X29" s="33"/>
      <c r="Y29" s="32"/>
      <c r="Z29" s="32"/>
      <c r="AA29" s="32"/>
      <c r="AB29" s="32"/>
      <c r="AC29" s="32"/>
      <c r="AD29" s="32"/>
      <c r="AE29" s="32"/>
      <c r="AK29" s="118"/>
    </row>
    <row r="30" spans="1:41" ht="19" customHeight="1">
      <c r="B30" s="630" t="s">
        <v>1</v>
      </c>
      <c r="C30" s="583"/>
      <c r="D30" s="1298" t="s">
        <v>126</v>
      </c>
      <c r="E30" s="1514" t="s">
        <v>103</v>
      </c>
      <c r="F30" s="1515"/>
      <c r="G30" s="54" t="s">
        <v>1</v>
      </c>
      <c r="H30" s="629" t="s">
        <v>134</v>
      </c>
      <c r="I30" s="584" t="s">
        <v>134</v>
      </c>
      <c r="J30" s="584" t="s">
        <v>134</v>
      </c>
      <c r="K30" s="90"/>
      <c r="L30" s="91"/>
      <c r="M30" s="89"/>
      <c r="N30" s="90"/>
      <c r="O30" s="90"/>
      <c r="P30" s="90"/>
      <c r="Q30" s="92"/>
      <c r="R30" s="93"/>
      <c r="S30" s="90"/>
      <c r="T30" s="90"/>
      <c r="U30" s="90"/>
      <c r="V30" s="90"/>
      <c r="W30" s="91"/>
      <c r="X30" s="89"/>
      <c r="Y30" s="90"/>
      <c r="Z30" s="90"/>
      <c r="AA30" s="90"/>
      <c r="AB30" s="92"/>
      <c r="AC30" s="93"/>
      <c r="AD30" s="90"/>
      <c r="AE30" s="90"/>
      <c r="AF30" s="90"/>
      <c r="AG30" s="91"/>
      <c r="AH30" s="89"/>
      <c r="AI30" s="90"/>
      <c r="AJ30" s="90"/>
      <c r="AK30" s="92"/>
    </row>
    <row r="31" spans="1:41" ht="19" customHeight="1" thickBot="1">
      <c r="B31" s="632" t="s">
        <v>2</v>
      </c>
      <c r="C31" s="585"/>
      <c r="D31" s="1299"/>
      <c r="E31" s="1516"/>
      <c r="F31" s="1517"/>
      <c r="G31" s="631" t="s">
        <v>2</v>
      </c>
      <c r="H31" s="626"/>
      <c r="I31" s="625"/>
      <c r="J31" s="625"/>
      <c r="K31" s="621"/>
      <c r="L31" s="623"/>
      <c r="M31" s="622"/>
      <c r="N31" s="621"/>
      <c r="O31" s="621"/>
      <c r="P31" s="621"/>
      <c r="Q31" s="620"/>
      <c r="R31" s="624"/>
      <c r="S31" s="621"/>
      <c r="T31" s="621"/>
      <c r="U31" s="621"/>
      <c r="V31" s="621"/>
      <c r="W31" s="623"/>
      <c r="X31" s="622"/>
      <c r="Y31" s="621"/>
      <c r="Z31" s="621"/>
      <c r="AA31" s="621"/>
      <c r="AB31" s="620"/>
      <c r="AC31" s="624"/>
      <c r="AD31" s="621"/>
      <c r="AE31" s="621"/>
      <c r="AF31" s="621"/>
      <c r="AG31" s="623"/>
      <c r="AH31" s="622"/>
      <c r="AI31" s="621"/>
      <c r="AJ31" s="621"/>
      <c r="AK31" s="620"/>
    </row>
    <row r="32" spans="1:41" ht="19" customHeight="1">
      <c r="B32" s="630" t="s">
        <v>1</v>
      </c>
      <c r="C32" s="586"/>
      <c r="D32" s="1301" t="s">
        <v>126</v>
      </c>
      <c r="E32" s="1514" t="s">
        <v>102</v>
      </c>
      <c r="F32" s="1515"/>
      <c r="G32" s="54" t="s">
        <v>1</v>
      </c>
      <c r="H32" s="629" t="s">
        <v>134</v>
      </c>
      <c r="I32" s="584" t="s">
        <v>134</v>
      </c>
      <c r="J32" s="584" t="s">
        <v>134</v>
      </c>
      <c r="K32" s="100"/>
      <c r="L32" s="101"/>
      <c r="M32" s="99"/>
      <c r="N32" s="100"/>
      <c r="O32" s="100"/>
      <c r="P32" s="100"/>
      <c r="Q32" s="102"/>
      <c r="R32" s="103"/>
      <c r="S32" s="100"/>
      <c r="T32" s="100"/>
      <c r="U32" s="100"/>
      <c r="V32" s="100"/>
      <c r="W32" s="101"/>
      <c r="X32" s="99"/>
      <c r="Y32" s="100"/>
      <c r="Z32" s="100"/>
      <c r="AA32" s="100"/>
      <c r="AB32" s="102"/>
      <c r="AC32" s="103"/>
      <c r="AD32" s="100"/>
      <c r="AE32" s="100"/>
      <c r="AF32" s="100"/>
      <c r="AG32" s="101"/>
      <c r="AH32" s="99"/>
      <c r="AI32" s="100"/>
      <c r="AJ32" s="100"/>
      <c r="AK32" s="102"/>
    </row>
    <row r="33" spans="2:37" ht="19" customHeight="1" thickBot="1">
      <c r="B33" s="628" t="s">
        <v>2</v>
      </c>
      <c r="C33" s="587"/>
      <c r="D33" s="1511"/>
      <c r="E33" s="1518"/>
      <c r="F33" s="1519"/>
      <c r="G33" s="627" t="s">
        <v>2</v>
      </c>
      <c r="H33" s="638"/>
      <c r="I33" s="637"/>
      <c r="J33" s="637"/>
      <c r="K33" s="634"/>
      <c r="L33" s="636"/>
      <c r="M33" s="635"/>
      <c r="N33" s="634"/>
      <c r="O33" s="634"/>
      <c r="P33" s="634"/>
      <c r="Q33" s="633"/>
      <c r="R33" s="588"/>
      <c r="S33" s="634"/>
      <c r="T33" s="634"/>
      <c r="U33" s="634"/>
      <c r="V33" s="634"/>
      <c r="W33" s="636"/>
      <c r="X33" s="635"/>
      <c r="Y33" s="634"/>
      <c r="Z33" s="634"/>
      <c r="AA33" s="634"/>
      <c r="AB33" s="633"/>
      <c r="AC33" s="588"/>
      <c r="AD33" s="634"/>
      <c r="AE33" s="634"/>
      <c r="AF33" s="634"/>
      <c r="AG33" s="636"/>
      <c r="AH33" s="635"/>
      <c r="AI33" s="634"/>
      <c r="AJ33" s="634"/>
      <c r="AK33" s="633"/>
    </row>
    <row r="34" spans="2:37" ht="19" customHeight="1">
      <c r="B34" s="589" t="s">
        <v>1</v>
      </c>
      <c r="C34" s="590"/>
      <c r="D34" s="1311" t="s">
        <v>126</v>
      </c>
      <c r="E34" s="1516" t="s">
        <v>101</v>
      </c>
      <c r="F34" s="1517"/>
      <c r="G34" s="58" t="s">
        <v>1</v>
      </c>
      <c r="H34" s="629" t="s">
        <v>134</v>
      </c>
      <c r="I34" s="584" t="s">
        <v>134</v>
      </c>
      <c r="J34" s="584" t="s">
        <v>134</v>
      </c>
      <c r="K34" s="90"/>
      <c r="L34" s="91"/>
      <c r="M34" s="89"/>
      <c r="N34" s="90"/>
      <c r="O34" s="90"/>
      <c r="P34" s="90"/>
      <c r="Q34" s="92"/>
      <c r="R34" s="93"/>
      <c r="S34" s="90"/>
      <c r="T34" s="90"/>
      <c r="U34" s="90"/>
      <c r="V34" s="90"/>
      <c r="W34" s="91"/>
      <c r="X34" s="89"/>
      <c r="Y34" s="90"/>
      <c r="Z34" s="90"/>
      <c r="AA34" s="90"/>
      <c r="AB34" s="92"/>
      <c r="AC34" s="93"/>
      <c r="AD34" s="90"/>
      <c r="AE34" s="90"/>
      <c r="AF34" s="90"/>
      <c r="AG34" s="91"/>
      <c r="AH34" s="89"/>
      <c r="AI34" s="90"/>
      <c r="AJ34" s="90"/>
      <c r="AK34" s="92"/>
    </row>
    <row r="35" spans="2:37" ht="19" customHeight="1" thickBot="1">
      <c r="B35" s="632" t="s">
        <v>2</v>
      </c>
      <c r="C35" s="590"/>
      <c r="D35" s="1311"/>
      <c r="E35" s="1516"/>
      <c r="F35" s="1517"/>
      <c r="G35" s="631" t="s">
        <v>2</v>
      </c>
      <c r="H35" s="626"/>
      <c r="I35" s="625"/>
      <c r="J35" s="625"/>
      <c r="K35" s="621"/>
      <c r="L35" s="623"/>
      <c r="M35" s="622"/>
      <c r="N35" s="621"/>
      <c r="O35" s="621"/>
      <c r="P35" s="621"/>
      <c r="Q35" s="620"/>
      <c r="R35" s="624"/>
      <c r="S35" s="621"/>
      <c r="T35" s="621"/>
      <c r="U35" s="621"/>
      <c r="V35" s="621"/>
      <c r="W35" s="623"/>
      <c r="X35" s="622"/>
      <c r="Y35" s="621"/>
      <c r="Z35" s="621"/>
      <c r="AA35" s="621"/>
      <c r="AB35" s="620"/>
      <c r="AC35" s="624"/>
      <c r="AD35" s="621"/>
      <c r="AE35" s="621"/>
      <c r="AF35" s="621"/>
      <c r="AG35" s="623"/>
      <c r="AH35" s="622"/>
      <c r="AI35" s="621"/>
      <c r="AJ35" s="621"/>
      <c r="AK35" s="620"/>
    </row>
    <row r="36" spans="2:37" ht="19" customHeight="1">
      <c r="B36" s="630" t="s">
        <v>1</v>
      </c>
      <c r="C36" s="586"/>
      <c r="D36" s="1301" t="s">
        <v>126</v>
      </c>
      <c r="E36" s="1514" t="s">
        <v>100</v>
      </c>
      <c r="F36" s="1515"/>
      <c r="G36" s="54" t="s">
        <v>1</v>
      </c>
      <c r="H36" s="629" t="s">
        <v>134</v>
      </c>
      <c r="I36" s="584" t="s">
        <v>134</v>
      </c>
      <c r="J36" s="584" t="s">
        <v>134</v>
      </c>
      <c r="K36" s="100"/>
      <c r="L36" s="101"/>
      <c r="M36" s="99"/>
      <c r="N36" s="100"/>
      <c r="O36" s="100"/>
      <c r="P36" s="100"/>
      <c r="Q36" s="102"/>
      <c r="R36" s="103"/>
      <c r="S36" s="100"/>
      <c r="T36" s="100"/>
      <c r="U36" s="100"/>
      <c r="V36" s="100"/>
      <c r="W36" s="101"/>
      <c r="X36" s="99"/>
      <c r="Y36" s="100"/>
      <c r="Z36" s="100"/>
      <c r="AA36" s="100"/>
      <c r="AB36" s="102"/>
      <c r="AC36" s="103"/>
      <c r="AD36" s="100"/>
      <c r="AE36" s="100"/>
      <c r="AF36" s="100"/>
      <c r="AG36" s="101"/>
      <c r="AH36" s="99"/>
      <c r="AI36" s="100"/>
      <c r="AJ36" s="100"/>
      <c r="AK36" s="102"/>
    </row>
    <row r="37" spans="2:37" ht="19" customHeight="1" thickBot="1">
      <c r="B37" s="628" t="s">
        <v>2</v>
      </c>
      <c r="C37" s="587"/>
      <c r="D37" s="1511"/>
      <c r="E37" s="1518"/>
      <c r="F37" s="1519"/>
      <c r="G37" s="627" t="s">
        <v>2</v>
      </c>
      <c r="H37" s="626"/>
      <c r="I37" s="625"/>
      <c r="J37" s="625"/>
      <c r="K37" s="621"/>
      <c r="L37" s="623"/>
      <c r="M37" s="622"/>
      <c r="N37" s="621"/>
      <c r="O37" s="621"/>
      <c r="P37" s="621"/>
      <c r="Q37" s="620"/>
      <c r="R37" s="624"/>
      <c r="S37" s="621"/>
      <c r="T37" s="621"/>
      <c r="U37" s="621"/>
      <c r="V37" s="621"/>
      <c r="W37" s="623"/>
      <c r="X37" s="622"/>
      <c r="Y37" s="621"/>
      <c r="Z37" s="621"/>
      <c r="AA37" s="621"/>
      <c r="AB37" s="620"/>
      <c r="AC37" s="624"/>
      <c r="AD37" s="621"/>
      <c r="AE37" s="621"/>
      <c r="AF37" s="621"/>
      <c r="AG37" s="623"/>
      <c r="AH37" s="622"/>
      <c r="AI37" s="621"/>
      <c r="AJ37" s="621"/>
      <c r="AK37" s="620"/>
    </row>
    <row r="38" spans="2:37" s="61" customFormat="1" ht="7" customHeight="1" thickBot="1">
      <c r="B38" s="142"/>
      <c r="C38" s="59"/>
      <c r="D38" s="59"/>
      <c r="E38" s="59"/>
      <c r="F38" s="60"/>
      <c r="G38" s="60"/>
      <c r="H38" s="591"/>
      <c r="I38" s="591"/>
      <c r="J38" s="591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43"/>
    </row>
    <row r="39" spans="2:37" ht="19" customHeight="1">
      <c r="B39" s="630" t="s">
        <v>1</v>
      </c>
      <c r="C39" s="586"/>
      <c r="D39" s="1301" t="s">
        <v>126</v>
      </c>
      <c r="E39" s="1514" t="s">
        <v>99</v>
      </c>
      <c r="F39" s="1515"/>
      <c r="G39" s="62" t="s">
        <v>1</v>
      </c>
      <c r="H39" s="629" t="s">
        <v>134</v>
      </c>
      <c r="I39" s="584" t="s">
        <v>134</v>
      </c>
      <c r="J39" s="584" t="s">
        <v>134</v>
      </c>
      <c r="K39" s="90"/>
      <c r="L39" s="91"/>
      <c r="M39" s="89"/>
      <c r="N39" s="90"/>
      <c r="O39" s="90"/>
      <c r="P39" s="90"/>
      <c r="Q39" s="92"/>
      <c r="R39" s="93"/>
      <c r="S39" s="90"/>
      <c r="T39" s="90"/>
      <c r="U39" s="90"/>
      <c r="V39" s="90"/>
      <c r="W39" s="91"/>
      <c r="X39" s="89"/>
      <c r="Y39" s="90"/>
      <c r="Z39" s="90"/>
      <c r="AA39" s="90"/>
      <c r="AB39" s="92"/>
      <c r="AC39" s="93"/>
      <c r="AD39" s="90"/>
      <c r="AE39" s="90"/>
      <c r="AF39" s="90"/>
      <c r="AG39" s="91"/>
      <c r="AH39" s="89"/>
      <c r="AI39" s="90"/>
      <c r="AJ39" s="90"/>
      <c r="AK39" s="92"/>
    </row>
    <row r="40" spans="2:37" ht="19" customHeight="1" thickBot="1">
      <c r="B40" s="632" t="s">
        <v>2</v>
      </c>
      <c r="C40" s="590"/>
      <c r="D40" s="1311"/>
      <c r="E40" s="1516"/>
      <c r="F40" s="1517"/>
      <c r="G40" s="631" t="s">
        <v>2</v>
      </c>
      <c r="H40" s="626"/>
      <c r="I40" s="625"/>
      <c r="J40" s="625"/>
      <c r="K40" s="621"/>
      <c r="L40" s="623"/>
      <c r="M40" s="622"/>
      <c r="N40" s="621"/>
      <c r="O40" s="621"/>
      <c r="P40" s="621"/>
      <c r="Q40" s="620"/>
      <c r="R40" s="624"/>
      <c r="S40" s="621"/>
      <c r="T40" s="621"/>
      <c r="U40" s="621"/>
      <c r="V40" s="621"/>
      <c r="W40" s="623"/>
      <c r="X40" s="622"/>
      <c r="Y40" s="621"/>
      <c r="Z40" s="621"/>
      <c r="AA40" s="621"/>
      <c r="AB40" s="620"/>
      <c r="AC40" s="624"/>
      <c r="AD40" s="621"/>
      <c r="AE40" s="621"/>
      <c r="AF40" s="621"/>
      <c r="AG40" s="623"/>
      <c r="AH40" s="622"/>
      <c r="AI40" s="621"/>
      <c r="AJ40" s="621"/>
      <c r="AK40" s="620"/>
    </row>
    <row r="41" spans="2:37" ht="19" customHeight="1">
      <c r="B41" s="630" t="s">
        <v>1</v>
      </c>
      <c r="C41" s="586"/>
      <c r="D41" s="1301" t="s">
        <v>126</v>
      </c>
      <c r="E41" s="1514" t="s">
        <v>98</v>
      </c>
      <c r="F41" s="1515"/>
      <c r="G41" s="54" t="s">
        <v>1</v>
      </c>
      <c r="H41" s="629" t="s">
        <v>134</v>
      </c>
      <c r="I41" s="584" t="s">
        <v>134</v>
      </c>
      <c r="J41" s="584" t="s">
        <v>134</v>
      </c>
      <c r="K41" s="100"/>
      <c r="L41" s="101"/>
      <c r="M41" s="99"/>
      <c r="N41" s="100"/>
      <c r="O41" s="100"/>
      <c r="P41" s="100"/>
      <c r="Q41" s="102"/>
      <c r="R41" s="103"/>
      <c r="S41" s="100"/>
      <c r="T41" s="100"/>
      <c r="U41" s="100"/>
      <c r="V41" s="100"/>
      <c r="W41" s="101"/>
      <c r="X41" s="99"/>
      <c r="Y41" s="100"/>
      <c r="Z41" s="100"/>
      <c r="AA41" s="100"/>
      <c r="AB41" s="102"/>
      <c r="AC41" s="103"/>
      <c r="AD41" s="100"/>
      <c r="AE41" s="100"/>
      <c r="AF41" s="100"/>
      <c r="AG41" s="101"/>
      <c r="AH41" s="99"/>
      <c r="AI41" s="100"/>
      <c r="AJ41" s="100"/>
      <c r="AK41" s="102"/>
    </row>
    <row r="42" spans="2:37" ht="19" customHeight="1" thickBot="1">
      <c r="B42" s="628" t="s">
        <v>2</v>
      </c>
      <c r="C42" s="587"/>
      <c r="D42" s="1511"/>
      <c r="E42" s="1518"/>
      <c r="F42" s="1519"/>
      <c r="G42" s="627" t="s">
        <v>2</v>
      </c>
      <c r="H42" s="638"/>
      <c r="I42" s="637"/>
      <c r="J42" s="637"/>
      <c r="K42" s="634"/>
      <c r="L42" s="636"/>
      <c r="M42" s="635"/>
      <c r="N42" s="634"/>
      <c r="O42" s="634"/>
      <c r="P42" s="634"/>
      <c r="Q42" s="633"/>
      <c r="R42" s="588"/>
      <c r="S42" s="634"/>
      <c r="T42" s="634"/>
      <c r="U42" s="634"/>
      <c r="V42" s="634"/>
      <c r="W42" s="636"/>
      <c r="X42" s="635"/>
      <c r="Y42" s="634"/>
      <c r="Z42" s="634"/>
      <c r="AA42" s="634"/>
      <c r="AB42" s="633"/>
      <c r="AC42" s="588"/>
      <c r="AD42" s="634"/>
      <c r="AE42" s="634"/>
      <c r="AF42" s="634"/>
      <c r="AG42" s="636"/>
      <c r="AH42" s="635"/>
      <c r="AI42" s="634"/>
      <c r="AJ42" s="634"/>
      <c r="AK42" s="633"/>
    </row>
    <row r="43" spans="2:37" ht="19" customHeight="1">
      <c r="B43" s="589" t="s">
        <v>1</v>
      </c>
      <c r="C43" s="590"/>
      <c r="D43" s="1311" t="s">
        <v>126</v>
      </c>
      <c r="E43" s="1516" t="s">
        <v>97</v>
      </c>
      <c r="F43" s="1517"/>
      <c r="G43" s="58" t="s">
        <v>1</v>
      </c>
      <c r="H43" s="629" t="s">
        <v>134</v>
      </c>
      <c r="I43" s="584" t="s">
        <v>134</v>
      </c>
      <c r="J43" s="584" t="s">
        <v>134</v>
      </c>
      <c r="K43" s="90"/>
      <c r="L43" s="91"/>
      <c r="M43" s="89"/>
      <c r="N43" s="90"/>
      <c r="O43" s="90"/>
      <c r="P43" s="90"/>
      <c r="Q43" s="92"/>
      <c r="R43" s="93"/>
      <c r="S43" s="90"/>
      <c r="T43" s="90"/>
      <c r="U43" s="90"/>
      <c r="V43" s="90"/>
      <c r="W43" s="91"/>
      <c r="X43" s="89"/>
      <c r="Y43" s="90"/>
      <c r="Z43" s="90"/>
      <c r="AA43" s="90"/>
      <c r="AB43" s="92"/>
      <c r="AC43" s="93"/>
      <c r="AD43" s="90"/>
      <c r="AE43" s="90"/>
      <c r="AF43" s="90"/>
      <c r="AG43" s="91"/>
      <c r="AH43" s="89"/>
      <c r="AI43" s="90"/>
      <c r="AJ43" s="90"/>
      <c r="AK43" s="92"/>
    </row>
    <row r="44" spans="2:37" ht="19" customHeight="1" thickBot="1">
      <c r="B44" s="632" t="s">
        <v>2</v>
      </c>
      <c r="C44" s="590"/>
      <c r="D44" s="1311"/>
      <c r="E44" s="1516"/>
      <c r="F44" s="1517"/>
      <c r="G44" s="631" t="s">
        <v>2</v>
      </c>
      <c r="H44" s="626"/>
      <c r="I44" s="625"/>
      <c r="J44" s="625"/>
      <c r="K44" s="621"/>
      <c r="L44" s="623"/>
      <c r="M44" s="622"/>
      <c r="N44" s="621"/>
      <c r="O44" s="621"/>
      <c r="P44" s="621"/>
      <c r="Q44" s="620"/>
      <c r="R44" s="624"/>
      <c r="S44" s="621"/>
      <c r="T44" s="621"/>
      <c r="U44" s="621"/>
      <c r="V44" s="621"/>
      <c r="W44" s="623"/>
      <c r="X44" s="622"/>
      <c r="Y44" s="621"/>
      <c r="Z44" s="621"/>
      <c r="AA44" s="621"/>
      <c r="AB44" s="620"/>
      <c r="AC44" s="624"/>
      <c r="AD44" s="621"/>
      <c r="AE44" s="621"/>
      <c r="AF44" s="621"/>
      <c r="AG44" s="623"/>
      <c r="AH44" s="622"/>
      <c r="AI44" s="621"/>
      <c r="AJ44" s="621"/>
      <c r="AK44" s="620"/>
    </row>
    <row r="45" spans="2:37" ht="19" customHeight="1">
      <c r="B45" s="630" t="s">
        <v>1</v>
      </c>
      <c r="C45" s="586"/>
      <c r="D45" s="1301" t="s">
        <v>126</v>
      </c>
      <c r="E45" s="1514" t="s">
        <v>96</v>
      </c>
      <c r="F45" s="1515"/>
      <c r="G45" s="54" t="s">
        <v>1</v>
      </c>
      <c r="H45" s="629" t="s">
        <v>134</v>
      </c>
      <c r="I45" s="584" t="s">
        <v>134</v>
      </c>
      <c r="J45" s="584" t="s">
        <v>134</v>
      </c>
      <c r="K45" s="100"/>
      <c r="L45" s="101"/>
      <c r="M45" s="99"/>
      <c r="N45" s="100"/>
      <c r="O45" s="100"/>
      <c r="P45" s="100"/>
      <c r="Q45" s="102"/>
      <c r="R45" s="103"/>
      <c r="S45" s="100"/>
      <c r="T45" s="100"/>
      <c r="U45" s="100"/>
      <c r="V45" s="100"/>
      <c r="W45" s="101"/>
      <c r="X45" s="99"/>
      <c r="Y45" s="100"/>
      <c r="Z45" s="100"/>
      <c r="AA45" s="100"/>
      <c r="AB45" s="102"/>
      <c r="AC45" s="103"/>
      <c r="AD45" s="100"/>
      <c r="AE45" s="100"/>
      <c r="AF45" s="100"/>
      <c r="AG45" s="101"/>
      <c r="AH45" s="99"/>
      <c r="AI45" s="100"/>
      <c r="AJ45" s="100"/>
      <c r="AK45" s="102"/>
    </row>
    <row r="46" spans="2:37" ht="19" customHeight="1" thickBot="1">
      <c r="B46" s="628" t="s">
        <v>2</v>
      </c>
      <c r="C46" s="587"/>
      <c r="D46" s="1511"/>
      <c r="E46" s="1518"/>
      <c r="F46" s="1519"/>
      <c r="G46" s="627" t="s">
        <v>2</v>
      </c>
      <c r="H46" s="626"/>
      <c r="I46" s="625"/>
      <c r="J46" s="625"/>
      <c r="K46" s="621"/>
      <c r="L46" s="623"/>
      <c r="M46" s="622"/>
      <c r="N46" s="621"/>
      <c r="O46" s="621"/>
      <c r="P46" s="621"/>
      <c r="Q46" s="620"/>
      <c r="R46" s="624"/>
      <c r="S46" s="621"/>
      <c r="T46" s="621"/>
      <c r="U46" s="621"/>
      <c r="V46" s="621"/>
      <c r="W46" s="623"/>
      <c r="X46" s="622"/>
      <c r="Y46" s="621"/>
      <c r="Z46" s="621"/>
      <c r="AA46" s="621"/>
      <c r="AB46" s="620"/>
      <c r="AC46" s="624"/>
      <c r="AD46" s="621"/>
      <c r="AE46" s="621"/>
      <c r="AF46" s="621"/>
      <c r="AG46" s="623"/>
      <c r="AH46" s="622"/>
      <c r="AI46" s="621"/>
      <c r="AJ46" s="621"/>
      <c r="AK46" s="620"/>
    </row>
    <row r="47" spans="2:37" ht="19" customHeight="1">
      <c r="B47" s="630" t="s">
        <v>1</v>
      </c>
      <c r="C47" s="586"/>
      <c r="D47" s="1301" t="s">
        <v>126</v>
      </c>
      <c r="E47" s="1514" t="s">
        <v>95</v>
      </c>
      <c r="F47" s="1515"/>
      <c r="G47" s="54" t="s">
        <v>1</v>
      </c>
      <c r="H47" s="629" t="s">
        <v>134</v>
      </c>
      <c r="I47" s="584" t="s">
        <v>134</v>
      </c>
      <c r="J47" s="584" t="s">
        <v>134</v>
      </c>
      <c r="K47" s="90"/>
      <c r="L47" s="91"/>
      <c r="M47" s="89"/>
      <c r="N47" s="90"/>
      <c r="O47" s="90"/>
      <c r="P47" s="90"/>
      <c r="Q47" s="92"/>
      <c r="R47" s="93"/>
      <c r="S47" s="90"/>
      <c r="T47" s="90"/>
      <c r="U47" s="90"/>
      <c r="V47" s="90"/>
      <c r="W47" s="91"/>
      <c r="X47" s="89"/>
      <c r="Y47" s="90"/>
      <c r="Z47" s="90"/>
      <c r="AA47" s="90"/>
      <c r="AB47" s="92"/>
      <c r="AC47" s="93"/>
      <c r="AD47" s="90"/>
      <c r="AE47" s="90"/>
      <c r="AF47" s="90"/>
      <c r="AG47" s="91"/>
      <c r="AH47" s="89"/>
      <c r="AI47" s="90"/>
      <c r="AJ47" s="90"/>
      <c r="AK47" s="92"/>
    </row>
    <row r="48" spans="2:37" ht="19" customHeight="1" thickBot="1">
      <c r="B48" s="628" t="s">
        <v>2</v>
      </c>
      <c r="C48" s="587"/>
      <c r="D48" s="1511"/>
      <c r="E48" s="1518"/>
      <c r="F48" s="1519"/>
      <c r="G48" s="627" t="s">
        <v>2</v>
      </c>
      <c r="H48" s="626"/>
      <c r="I48" s="625"/>
      <c r="J48" s="625"/>
      <c r="K48" s="621"/>
      <c r="L48" s="623"/>
      <c r="M48" s="622"/>
      <c r="N48" s="621"/>
      <c r="O48" s="621"/>
      <c r="P48" s="621"/>
      <c r="Q48" s="620"/>
      <c r="R48" s="624"/>
      <c r="S48" s="621"/>
      <c r="T48" s="621"/>
      <c r="U48" s="621"/>
      <c r="V48" s="621"/>
      <c r="W48" s="623"/>
      <c r="X48" s="622"/>
      <c r="Y48" s="621"/>
      <c r="Z48" s="621"/>
      <c r="AA48" s="621"/>
      <c r="AB48" s="620"/>
      <c r="AC48" s="624"/>
      <c r="AD48" s="621"/>
      <c r="AE48" s="621"/>
      <c r="AF48" s="621"/>
      <c r="AG48" s="623"/>
      <c r="AH48" s="622"/>
      <c r="AI48" s="621"/>
      <c r="AJ48" s="621"/>
      <c r="AK48" s="620"/>
    </row>
    <row r="49" spans="2:37" s="9" customFormat="1" ht="8.15" customHeight="1" thickBot="1">
      <c r="B49" s="144"/>
      <c r="C49" s="43"/>
      <c r="D49" s="571"/>
      <c r="E49" s="571"/>
      <c r="F49" s="571"/>
      <c r="G49" s="571"/>
      <c r="H49" s="571"/>
      <c r="I49" s="571"/>
      <c r="J49" s="571"/>
      <c r="K49" s="571"/>
      <c r="L49" s="571"/>
      <c r="M49" s="571"/>
      <c r="N49" s="571"/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  <c r="Z49" s="571"/>
      <c r="AA49" s="571"/>
      <c r="AB49" s="571"/>
      <c r="AC49" s="571"/>
      <c r="AD49" s="571"/>
      <c r="AE49" s="571"/>
      <c r="AF49" s="571"/>
      <c r="AG49" s="571"/>
      <c r="AK49" s="572"/>
    </row>
    <row r="50" spans="2:37" s="42" customFormat="1" ht="16" customHeight="1">
      <c r="B50" s="1542" t="s">
        <v>127</v>
      </c>
      <c r="C50" s="1543"/>
      <c r="D50" s="1315"/>
      <c r="E50" s="1315"/>
      <c r="F50" s="1316"/>
      <c r="G50" s="64" t="s">
        <v>103</v>
      </c>
      <c r="H50" s="64"/>
      <c r="I50" s="65"/>
      <c r="J50" s="1312" t="s">
        <v>102</v>
      </c>
      <c r="K50" s="1290"/>
      <c r="L50" s="1291"/>
      <c r="M50" s="1289" t="s">
        <v>101</v>
      </c>
      <c r="N50" s="1290"/>
      <c r="O50" s="1291"/>
      <c r="P50" s="1289" t="s">
        <v>100</v>
      </c>
      <c r="Q50" s="1290"/>
      <c r="R50" s="1291"/>
      <c r="S50" s="1289" t="s">
        <v>99</v>
      </c>
      <c r="T50" s="1290"/>
      <c r="U50" s="1290"/>
      <c r="V50" s="1291"/>
      <c r="W50" s="1289" t="s">
        <v>98</v>
      </c>
      <c r="X50" s="1290"/>
      <c r="Y50" s="1291"/>
      <c r="Z50" s="1289" t="s">
        <v>97</v>
      </c>
      <c r="AA50" s="1290"/>
      <c r="AB50" s="1290"/>
      <c r="AC50" s="1312" t="s">
        <v>96</v>
      </c>
      <c r="AD50" s="1290"/>
      <c r="AE50" s="1291"/>
      <c r="AF50" s="1289" t="s">
        <v>95</v>
      </c>
      <c r="AG50" s="1290"/>
      <c r="AH50" s="1291"/>
      <c r="AI50" s="1535"/>
      <c r="AJ50" s="1535"/>
      <c r="AK50" s="1536"/>
    </row>
    <row r="51" spans="2:37" ht="19" customHeight="1" thickBot="1">
      <c r="B51" s="1317"/>
      <c r="C51" s="1318"/>
      <c r="D51" s="1318"/>
      <c r="E51" s="1318"/>
      <c r="F51" s="1319"/>
      <c r="G51" s="592"/>
      <c r="H51" s="593" t="s">
        <v>3</v>
      </c>
      <c r="I51" s="594"/>
      <c r="J51" s="595"/>
      <c r="K51" s="593" t="s">
        <v>3</v>
      </c>
      <c r="L51" s="594"/>
      <c r="M51" s="595"/>
      <c r="N51" s="593" t="s">
        <v>3</v>
      </c>
      <c r="O51" s="594"/>
      <c r="P51" s="595"/>
      <c r="Q51" s="593" t="s">
        <v>3</v>
      </c>
      <c r="R51" s="594"/>
      <c r="S51" s="595"/>
      <c r="T51" s="593" t="s">
        <v>3</v>
      </c>
      <c r="U51" s="593"/>
      <c r="V51" s="594"/>
      <c r="W51" s="595"/>
      <c r="X51" s="593" t="s">
        <v>3</v>
      </c>
      <c r="Y51" s="594"/>
      <c r="Z51" s="595"/>
      <c r="AA51" s="593" t="s">
        <v>3</v>
      </c>
      <c r="AB51" s="594"/>
      <c r="AC51" s="595"/>
      <c r="AD51" s="593" t="s">
        <v>3</v>
      </c>
      <c r="AE51" s="594"/>
      <c r="AF51" s="595"/>
      <c r="AG51" s="593" t="s">
        <v>3</v>
      </c>
      <c r="AH51" s="596"/>
      <c r="AI51" s="1537"/>
      <c r="AJ51" s="1537"/>
      <c r="AK51" s="1538"/>
    </row>
    <row r="52" spans="2:37" ht="19" customHeight="1">
      <c r="B52" s="1269" t="s">
        <v>94</v>
      </c>
      <c r="C52" s="1270"/>
      <c r="D52" s="1271"/>
      <c r="E52" s="1271"/>
      <c r="F52" s="1272"/>
      <c r="G52" s="597"/>
      <c r="H52" s="598"/>
      <c r="I52" s="69"/>
      <c r="J52" s="597"/>
      <c r="K52" s="598"/>
      <c r="L52" s="69"/>
      <c r="M52" s="597"/>
      <c r="N52" s="598"/>
      <c r="O52" s="69"/>
      <c r="P52" s="597"/>
      <c r="Q52" s="598"/>
      <c r="R52" s="69"/>
      <c r="S52" s="597"/>
      <c r="T52" s="598"/>
      <c r="U52" s="598"/>
      <c r="V52" s="69"/>
      <c r="W52" s="597"/>
      <c r="X52" s="598"/>
      <c r="Y52" s="69"/>
      <c r="Z52" s="597"/>
      <c r="AA52" s="1282" t="s">
        <v>151</v>
      </c>
      <c r="AB52" s="1509"/>
      <c r="AC52" s="1509"/>
      <c r="AD52" s="1509"/>
      <c r="AE52" s="1510"/>
      <c r="AF52" s="1276" t="s">
        <v>128</v>
      </c>
      <c r="AG52" s="1277"/>
      <c r="AH52" s="1277"/>
      <c r="AI52" s="1277"/>
      <c r="AJ52" s="1277"/>
      <c r="AK52" s="1505"/>
    </row>
    <row r="53" spans="2:37" ht="19" customHeight="1" thickBot="1">
      <c r="B53" s="1503"/>
      <c r="C53" s="1274"/>
      <c r="D53" s="1274"/>
      <c r="E53" s="1274"/>
      <c r="F53" s="1504"/>
      <c r="G53" s="599"/>
      <c r="H53" s="600"/>
      <c r="I53" s="206"/>
      <c r="J53" s="599"/>
      <c r="K53" s="600"/>
      <c r="L53" s="206"/>
      <c r="M53" s="599"/>
      <c r="N53" s="600"/>
      <c r="O53" s="206"/>
      <c r="P53" s="599"/>
      <c r="Q53" s="600"/>
      <c r="R53" s="206"/>
      <c r="S53" s="599"/>
      <c r="T53" s="600"/>
      <c r="U53" s="600"/>
      <c r="V53" s="206"/>
      <c r="W53" s="599"/>
      <c r="X53" s="600"/>
      <c r="Y53" s="206"/>
      <c r="Z53" s="599"/>
      <c r="AA53" s="1539" t="s">
        <v>3</v>
      </c>
      <c r="AB53" s="1540"/>
      <c r="AC53" s="1540"/>
      <c r="AD53" s="1540"/>
      <c r="AE53" s="1541"/>
      <c r="AF53" s="1506" t="s">
        <v>3</v>
      </c>
      <c r="AG53" s="1507"/>
      <c r="AH53" s="1507"/>
      <c r="AI53" s="1507"/>
      <c r="AJ53" s="1507"/>
      <c r="AK53" s="1508"/>
    </row>
    <row r="54" spans="2:37" ht="9" customHeight="1" thickBot="1">
      <c r="B54" s="226"/>
      <c r="C54" s="227"/>
      <c r="D54" s="227"/>
      <c r="E54" s="227"/>
      <c r="F54" s="227"/>
      <c r="G54" s="182"/>
      <c r="H54" s="183"/>
      <c r="I54" s="30"/>
      <c r="J54" s="182"/>
      <c r="K54" s="183"/>
      <c r="L54" s="30"/>
      <c r="M54" s="182"/>
      <c r="N54" s="183"/>
      <c r="O54" s="30"/>
      <c r="P54" s="182"/>
      <c r="Q54" s="183"/>
      <c r="R54" s="30"/>
      <c r="S54" s="182"/>
      <c r="T54" s="183"/>
      <c r="U54" s="183"/>
      <c r="V54" s="30"/>
      <c r="W54" s="182"/>
      <c r="X54" s="183"/>
      <c r="Y54" s="30"/>
      <c r="Z54" s="182"/>
      <c r="AA54" s="183"/>
      <c r="AB54" s="30"/>
      <c r="AC54" s="182"/>
      <c r="AD54" s="183"/>
      <c r="AE54" s="30"/>
      <c r="AF54" s="183"/>
      <c r="AG54" s="30"/>
      <c r="AH54" s="30"/>
      <c r="AI54" s="30"/>
      <c r="AJ54" s="30"/>
      <c r="AK54" s="146"/>
    </row>
    <row r="55" spans="2:37" ht="17.149999999999999" customHeight="1" thickBot="1">
      <c r="B55" s="1522" t="s">
        <v>129</v>
      </c>
      <c r="C55" s="1523"/>
      <c r="D55" s="1287"/>
      <c r="E55" s="1287"/>
      <c r="F55" s="1287"/>
      <c r="G55" s="1287"/>
      <c r="H55" s="1287"/>
      <c r="I55" s="1287"/>
      <c r="J55" s="1287"/>
      <c r="K55" s="1287"/>
      <c r="L55" s="1287"/>
      <c r="M55" s="1287"/>
      <c r="N55" s="1287"/>
      <c r="O55" s="1287"/>
      <c r="P55" s="1287"/>
      <c r="Q55" s="1287"/>
      <c r="R55" s="1287"/>
      <c r="S55" s="1287"/>
      <c r="T55" s="1287"/>
      <c r="U55" s="1287"/>
      <c r="V55" s="1287"/>
      <c r="W55" s="1287"/>
      <c r="X55" s="1287"/>
      <c r="Y55" s="1287"/>
      <c r="Z55" s="1287"/>
      <c r="AA55" s="1287"/>
      <c r="AB55" s="1287"/>
      <c r="AC55" s="1287"/>
      <c r="AD55" s="1287"/>
      <c r="AE55" s="1287"/>
      <c r="AF55" s="1287"/>
      <c r="AG55" s="1287"/>
      <c r="AH55" s="1287"/>
      <c r="AI55" s="1287"/>
      <c r="AJ55" s="1287"/>
      <c r="AK55" s="1288"/>
    </row>
    <row r="56" spans="2:37" s="1" customFormat="1" ht="21" customHeight="1" thickBot="1">
      <c r="B56" s="1524" t="s">
        <v>117</v>
      </c>
      <c r="C56" s="1525"/>
      <c r="D56" s="1266"/>
      <c r="E56" s="1266"/>
      <c r="F56" s="1266"/>
      <c r="G56" s="1266"/>
      <c r="H56" s="1266"/>
      <c r="I56" s="1266"/>
      <c r="J56" s="1266"/>
      <c r="K56" s="1266"/>
      <c r="L56" s="1266"/>
      <c r="M56" s="1266"/>
      <c r="N56" s="1266"/>
      <c r="O56" s="1266"/>
      <c r="P56" s="1266"/>
      <c r="Q56" s="1266"/>
      <c r="R56" s="1267"/>
      <c r="S56" s="1268" t="s">
        <v>130</v>
      </c>
      <c r="T56" s="1266"/>
      <c r="U56" s="1266"/>
      <c r="V56" s="1266"/>
      <c r="W56" s="1266"/>
      <c r="X56" s="1266"/>
      <c r="Y56" s="1266"/>
      <c r="Z56" s="1266"/>
      <c r="AA56" s="1266"/>
      <c r="AB56" s="1266"/>
      <c r="AC56" s="1266"/>
      <c r="AD56" s="1266"/>
      <c r="AE56" s="1266"/>
      <c r="AF56" s="1266"/>
      <c r="AG56" s="1266"/>
      <c r="AH56" s="1266"/>
      <c r="AI56" s="1266"/>
      <c r="AJ56" s="1266"/>
      <c r="AK56" s="1267"/>
    </row>
    <row r="57" spans="2:37" s="1" customFormat="1" ht="21" customHeight="1" thickBot="1">
      <c r="B57" s="1524" t="s">
        <v>131</v>
      </c>
      <c r="C57" s="1525"/>
      <c r="D57" s="1266"/>
      <c r="E57" s="1266"/>
      <c r="F57" s="1266"/>
      <c r="G57" s="1266"/>
      <c r="H57" s="1266"/>
      <c r="I57" s="1266"/>
      <c r="J57" s="1266"/>
      <c r="K57" s="1266"/>
      <c r="L57" s="1266"/>
      <c r="M57" s="1266"/>
      <c r="N57" s="1266"/>
      <c r="O57" s="1266"/>
      <c r="P57" s="1266"/>
      <c r="Q57" s="1266"/>
      <c r="R57" s="1267"/>
      <c r="S57" s="1268" t="s">
        <v>132</v>
      </c>
      <c r="T57" s="1266"/>
      <c r="U57" s="1266"/>
      <c r="V57" s="1266"/>
      <c r="W57" s="1266"/>
      <c r="X57" s="1266"/>
      <c r="Y57" s="1266"/>
      <c r="Z57" s="1266"/>
      <c r="AA57" s="1266"/>
      <c r="AB57" s="1266"/>
      <c r="AC57" s="1266"/>
      <c r="AD57" s="1266"/>
      <c r="AE57" s="1266"/>
      <c r="AF57" s="1266"/>
      <c r="AG57" s="1266"/>
      <c r="AH57" s="1266"/>
      <c r="AI57" s="1266"/>
      <c r="AJ57" s="1266"/>
      <c r="AK57" s="1267"/>
    </row>
    <row r="58" spans="2:37" ht="6" customHeight="1"/>
    <row r="59" spans="2:37" ht="14.25" customHeight="1">
      <c r="B59" s="1532" t="s">
        <v>246</v>
      </c>
      <c r="C59" s="1533"/>
      <c r="D59" s="1533"/>
      <c r="E59" s="1533"/>
      <c r="F59" s="1533"/>
      <c r="G59" s="1533"/>
      <c r="H59" s="1533"/>
      <c r="I59" s="1533"/>
      <c r="J59" s="1533"/>
      <c r="K59" s="1533"/>
      <c r="L59" s="1533"/>
      <c r="M59" s="1533"/>
      <c r="N59" s="1533"/>
      <c r="O59" s="1533"/>
      <c r="P59" s="1533"/>
      <c r="Q59" s="1533"/>
      <c r="R59" s="1533"/>
      <c r="S59" s="1533"/>
      <c r="T59" s="1533"/>
      <c r="U59" s="1533"/>
      <c r="V59" s="1533"/>
      <c r="W59" s="1533"/>
      <c r="X59" s="1533"/>
      <c r="Y59" s="1534"/>
      <c r="Z59" s="1529" t="s">
        <v>342</v>
      </c>
      <c r="AA59" s="1530"/>
      <c r="AB59" s="1530"/>
      <c r="AC59" s="1530"/>
      <c r="AD59" s="1530"/>
      <c r="AE59" s="1531"/>
      <c r="AF59" s="1526">
        <f ca="1">TODAY()</f>
        <v>45897</v>
      </c>
      <c r="AG59" s="1527"/>
      <c r="AH59" s="1527"/>
      <c r="AI59" s="1527"/>
      <c r="AJ59" s="1527"/>
      <c r="AK59" s="1528"/>
    </row>
    <row r="60" spans="2:37" ht="12.75" customHeight="1">
      <c r="B60" s="1251"/>
      <c r="C60" s="1252"/>
      <c r="D60" s="1252"/>
      <c r="E60" s="1252"/>
      <c r="F60" s="1252"/>
      <c r="G60" s="1252"/>
      <c r="H60" s="1252"/>
      <c r="I60" s="1252"/>
      <c r="J60" s="1252"/>
      <c r="K60" s="1252"/>
      <c r="L60" s="1252"/>
      <c r="M60" s="1252"/>
      <c r="N60" s="1252"/>
      <c r="O60" s="1252"/>
      <c r="P60" s="1252"/>
      <c r="Q60" s="1252"/>
      <c r="R60" s="1252"/>
      <c r="S60" s="1252"/>
      <c r="T60" s="1252"/>
      <c r="U60" s="1252"/>
      <c r="V60" s="1252"/>
      <c r="W60" s="1252"/>
      <c r="X60" s="1252"/>
      <c r="Y60" s="1253"/>
      <c r="Z60" s="1242"/>
      <c r="AA60" s="1243"/>
      <c r="AB60" s="1243"/>
      <c r="AC60" s="1243"/>
      <c r="AD60" s="1243"/>
      <c r="AE60" s="1244"/>
      <c r="AF60" s="1233"/>
      <c r="AG60" s="1234"/>
      <c r="AH60" s="1234"/>
      <c r="AI60" s="1234"/>
      <c r="AJ60" s="1234"/>
      <c r="AK60" s="1235"/>
    </row>
    <row r="61" spans="2:37" ht="18" customHeight="1">
      <c r="B61" s="1254"/>
      <c r="C61" s="1255"/>
      <c r="D61" s="1255"/>
      <c r="E61" s="1255"/>
      <c r="F61" s="1255"/>
      <c r="G61" s="1255"/>
      <c r="H61" s="1255"/>
      <c r="I61" s="1255"/>
      <c r="J61" s="1255"/>
      <c r="K61" s="1255"/>
      <c r="L61" s="1255"/>
      <c r="M61" s="1255"/>
      <c r="N61" s="1255"/>
      <c r="O61" s="1255"/>
      <c r="P61" s="1255"/>
      <c r="Q61" s="1255"/>
      <c r="R61" s="1255"/>
      <c r="S61" s="1255"/>
      <c r="T61" s="1255"/>
      <c r="U61" s="1255"/>
      <c r="V61" s="1255"/>
      <c r="W61" s="1255"/>
      <c r="X61" s="1255"/>
      <c r="Y61" s="1256"/>
      <c r="Z61" s="1245"/>
      <c r="AA61" s="1246"/>
      <c r="AB61" s="1246"/>
      <c r="AC61" s="1246"/>
      <c r="AD61" s="1246"/>
      <c r="AE61" s="1247"/>
      <c r="AF61" s="1236"/>
      <c r="AG61" s="1237"/>
      <c r="AH61" s="1237"/>
      <c r="AI61" s="1237"/>
      <c r="AJ61" s="1237"/>
      <c r="AK61" s="1238"/>
    </row>
  </sheetData>
  <mergeCells count="97">
    <mergeCell ref="Y11:AJ11"/>
    <mergeCell ref="G12:R12"/>
    <mergeCell ref="G13:R13"/>
    <mergeCell ref="H1:AK2"/>
    <mergeCell ref="H4:AF4"/>
    <mergeCell ref="AG4:AK4"/>
    <mergeCell ref="F6:J6"/>
    <mergeCell ref="AK8:AK9"/>
    <mergeCell ref="S8:S9"/>
    <mergeCell ref="AE6:AH6"/>
    <mergeCell ref="AI6:AK6"/>
    <mergeCell ref="T8:Y8"/>
    <mergeCell ref="Z8:AJ8"/>
    <mergeCell ref="Y9:AJ9"/>
    <mergeCell ref="H8:R8"/>
    <mergeCell ref="D47:D48"/>
    <mergeCell ref="E47:F48"/>
    <mergeCell ref="AF50:AH50"/>
    <mergeCell ref="P50:R50"/>
    <mergeCell ref="K6:L6"/>
    <mergeCell ref="M6:O6"/>
    <mergeCell ref="B8:G8"/>
    <mergeCell ref="Y17:AJ17"/>
    <mergeCell ref="Y18:AJ18"/>
    <mergeCell ref="G14:R14"/>
    <mergeCell ref="G15:R15"/>
    <mergeCell ref="G16:R16"/>
    <mergeCell ref="Y14:AJ14"/>
    <mergeCell ref="Y15:AJ15"/>
    <mergeCell ref="Y16:AJ16"/>
    <mergeCell ref="G19:R19"/>
    <mergeCell ref="B6:E6"/>
    <mergeCell ref="T21:X21"/>
    <mergeCell ref="T20:X20"/>
    <mergeCell ref="Y19:AJ19"/>
    <mergeCell ref="G17:R17"/>
    <mergeCell ref="G18:R18"/>
    <mergeCell ref="Y12:AJ12"/>
    <mergeCell ref="Y13:AJ13"/>
    <mergeCell ref="Y20:AK20"/>
    <mergeCell ref="T6:AD6"/>
    <mergeCell ref="P6:S6"/>
    <mergeCell ref="G9:R9"/>
    <mergeCell ref="G10:R10"/>
    <mergeCell ref="G11:R11"/>
    <mergeCell ref="Y10:AJ10"/>
    <mergeCell ref="Y21:AK21"/>
    <mergeCell ref="Z50:AB50"/>
    <mergeCell ref="AC50:AE50"/>
    <mergeCell ref="B50:F51"/>
    <mergeCell ref="J50:L50"/>
    <mergeCell ref="M50:O50"/>
    <mergeCell ref="S50:V50"/>
    <mergeCell ref="W50:Y50"/>
    <mergeCell ref="E39:F40"/>
    <mergeCell ref="D41:D42"/>
    <mergeCell ref="E45:F46"/>
    <mergeCell ref="E41:F42"/>
    <mergeCell ref="E36:F37"/>
    <mergeCell ref="B55:AK55"/>
    <mergeCell ref="B56:R56"/>
    <mergeCell ref="D34:D35"/>
    <mergeCell ref="E34:F35"/>
    <mergeCell ref="AF59:AK61"/>
    <mergeCell ref="Z59:AE61"/>
    <mergeCell ref="B59:Y61"/>
    <mergeCell ref="AI50:AK51"/>
    <mergeCell ref="AA53:AE53"/>
    <mergeCell ref="B57:R57"/>
    <mergeCell ref="S56:AK56"/>
    <mergeCell ref="S57:AK57"/>
    <mergeCell ref="E43:F44"/>
    <mergeCell ref="D45:D46"/>
    <mergeCell ref="D36:D37"/>
    <mergeCell ref="D43:D44"/>
    <mergeCell ref="AB23:AK23"/>
    <mergeCell ref="R23:AA23"/>
    <mergeCell ref="B52:F53"/>
    <mergeCell ref="AF52:AK52"/>
    <mergeCell ref="AF53:AK53"/>
    <mergeCell ref="AA52:AE52"/>
    <mergeCell ref="D39:D40"/>
    <mergeCell ref="O26:Q26"/>
    <mergeCell ref="D32:D33"/>
    <mergeCell ref="T24:Y24"/>
    <mergeCell ref="H24:S24"/>
    <mergeCell ref="Z24:AK24"/>
    <mergeCell ref="E30:F31"/>
    <mergeCell ref="E32:F33"/>
    <mergeCell ref="B26:G26"/>
    <mergeCell ref="D30:D31"/>
    <mergeCell ref="B23:G23"/>
    <mergeCell ref="B20:F20"/>
    <mergeCell ref="B21:F21"/>
    <mergeCell ref="G20:S20"/>
    <mergeCell ref="G21:S21"/>
    <mergeCell ref="H23:Q23"/>
  </mergeCells>
  <printOptions horizontalCentered="1" verticalCentered="1"/>
  <pageMargins left="0.19685039370078741" right="0.15748031496062992" top="0.23622047244094491" bottom="0.23622047244094491" header="0.31496062992125984" footer="0.23622047244094491"/>
  <pageSetup paperSize="9" scale="8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AL109"/>
  <sheetViews>
    <sheetView topLeftCell="A58" workbookViewId="0">
      <selection activeCell="K80" sqref="K80"/>
    </sheetView>
  </sheetViews>
  <sheetFormatPr baseColWidth="10" defaultColWidth="11.453125" defaultRowHeight="14"/>
  <cols>
    <col min="1" max="1" width="5.26953125" style="30" customWidth="1"/>
    <col min="2" max="2" width="3.7265625" style="1" customWidth="1"/>
    <col min="3" max="3" width="6.7265625" style="1" customWidth="1"/>
    <col min="4" max="4" width="8.7265625" style="1" customWidth="1"/>
    <col min="5" max="5" width="9.54296875" style="1" customWidth="1"/>
    <col min="6" max="7" width="4.7265625" style="1" customWidth="1"/>
    <col min="8" max="9" width="15.81640625" style="1" customWidth="1"/>
    <col min="10" max="10" width="3.7265625" style="1" hidden="1" customWidth="1"/>
    <col min="11" max="11" width="30.7265625" style="1" customWidth="1"/>
    <col min="12" max="12" width="4.7265625" style="1" customWidth="1"/>
    <col min="13" max="13" width="4.7265625" style="1" hidden="1" customWidth="1"/>
    <col min="14" max="14" width="4.7265625" style="1" customWidth="1"/>
    <col min="15" max="15" width="15.81640625" style="1" bestFit="1" customWidth="1"/>
    <col min="16" max="16" width="8.7265625" style="1" customWidth="1"/>
    <col min="17" max="17" width="25.7265625" style="1" bestFit="1" customWidth="1"/>
    <col min="18" max="18" width="24.90625" style="1" bestFit="1" customWidth="1"/>
    <col min="19" max="19" width="6.1796875" style="1" bestFit="1" customWidth="1"/>
    <col min="20" max="20" width="4.7265625" style="30" customWidth="1"/>
    <col min="21" max="21" width="20.7265625" style="1" bestFit="1" customWidth="1"/>
    <col min="22" max="22" width="4.7265625" style="30" customWidth="1"/>
    <col min="23" max="23" width="3" style="1" bestFit="1" customWidth="1"/>
    <col min="24" max="24" width="3.7265625" style="183" customWidth="1"/>
    <col min="25" max="25" width="4.7265625" style="176" customWidth="1"/>
    <col min="26" max="26" width="36" style="1" customWidth="1"/>
    <col min="27" max="27" width="8.1796875" style="1" bestFit="1" customWidth="1"/>
    <col min="28" max="28" width="12" style="1" bestFit="1" customWidth="1"/>
    <col min="29" max="29" width="25.453125" style="1" bestFit="1" customWidth="1"/>
    <col min="30" max="30" width="6.1796875" style="1" customWidth="1"/>
    <col min="31" max="31" width="12.81640625" style="377" customWidth="1"/>
    <col min="32" max="32" width="13.1796875" style="1" bestFit="1" customWidth="1"/>
    <col min="33" max="33" width="14.7265625" style="1" customWidth="1"/>
    <col min="34" max="34" width="34.36328125" style="1" bestFit="1" customWidth="1"/>
    <col min="35" max="35" width="3.7265625" style="30" customWidth="1"/>
    <col min="36" max="36" width="6.6328125" style="1" bestFit="1" customWidth="1"/>
    <col min="37" max="37" width="19.54296875" style="1" bestFit="1" customWidth="1"/>
    <col min="38" max="16384" width="11.453125" style="1"/>
  </cols>
  <sheetData>
    <row r="1" spans="1:29" ht="23.25" customHeight="1">
      <c r="A1" s="30">
        <v>3</v>
      </c>
      <c r="C1" s="1081" t="str">
        <f>Z3</f>
        <v>37. Schweizer Cup Männer 2025</v>
      </c>
      <c r="D1" s="1081"/>
      <c r="E1" s="1081"/>
      <c r="F1" s="1081"/>
      <c r="G1" s="1081"/>
      <c r="H1" s="1081"/>
      <c r="I1" s="1081"/>
      <c r="J1" s="375"/>
    </row>
    <row r="2" spans="1:29" ht="14.5" thickBot="1">
      <c r="B2" s="1">
        <v>1</v>
      </c>
      <c r="C2" s="30">
        <v>2</v>
      </c>
      <c r="D2" s="1">
        <v>3</v>
      </c>
      <c r="E2" s="30">
        <v>4</v>
      </c>
      <c r="F2" s="1">
        <v>5</v>
      </c>
      <c r="G2" s="30">
        <v>6</v>
      </c>
      <c r="H2" s="1">
        <v>7</v>
      </c>
      <c r="I2" s="30">
        <v>8</v>
      </c>
      <c r="J2" s="30"/>
      <c r="K2" s="30">
        <v>10</v>
      </c>
      <c r="L2" s="1">
        <v>11</v>
      </c>
      <c r="N2" s="1">
        <v>13</v>
      </c>
      <c r="O2" s="30">
        <v>14</v>
      </c>
      <c r="P2" s="1">
        <v>15</v>
      </c>
      <c r="Q2" s="30">
        <v>16</v>
      </c>
      <c r="R2" s="1">
        <v>17</v>
      </c>
      <c r="S2" s="30">
        <v>18</v>
      </c>
      <c r="T2" s="1">
        <v>19</v>
      </c>
      <c r="U2" s="30">
        <v>20</v>
      </c>
      <c r="V2" s="1">
        <v>21</v>
      </c>
    </row>
    <row r="3" spans="1:29" ht="20.5" thickBot="1">
      <c r="B3" s="378"/>
      <c r="C3" s="1082" t="str">
        <f>VLOOKUP($C$4,$Y$8:$AC$14,5,0)</f>
        <v>Vorrunde</v>
      </c>
      <c r="D3" s="1083"/>
      <c r="E3" s="1083"/>
      <c r="F3" s="1084"/>
      <c r="G3" s="294"/>
      <c r="H3" s="1070">
        <f>VLOOKUP($C$4,$Y$8:$AC$14,2,0)</f>
        <v>45754</v>
      </c>
      <c r="I3" s="1071"/>
      <c r="J3" s="355"/>
      <c r="K3" s="317">
        <f>VLOOKUP($C$4,$Y$8:$AC$14,3,0)</f>
        <v>45772</v>
      </c>
      <c r="L3" s="295"/>
      <c r="M3" s="295"/>
      <c r="N3" s="295"/>
      <c r="O3" s="295"/>
      <c r="P3" s="295"/>
      <c r="Q3" s="295"/>
      <c r="R3" s="295"/>
      <c r="S3" s="295"/>
      <c r="T3" s="296"/>
      <c r="U3" s="295"/>
      <c r="V3" s="296"/>
      <c r="Z3" s="1088" t="s">
        <v>1053</v>
      </c>
      <c r="AA3" s="1088"/>
      <c r="AB3" s="1088"/>
      <c r="AC3" s="1088"/>
    </row>
    <row r="4" spans="1:29" ht="15" customHeight="1">
      <c r="B4" s="379"/>
      <c r="C4" s="195">
        <v>1</v>
      </c>
      <c r="D4" s="269"/>
      <c r="E4" s="269"/>
      <c r="F4" s="268"/>
      <c r="G4" s="268"/>
      <c r="H4" s="1076"/>
      <c r="I4" s="1077"/>
      <c r="J4" s="269"/>
      <c r="K4" s="297"/>
      <c r="L4" s="269"/>
      <c r="M4" s="269"/>
      <c r="N4" s="269"/>
      <c r="O4" s="269"/>
      <c r="P4" s="269"/>
      <c r="Q4" s="269"/>
      <c r="R4" s="269"/>
      <c r="S4" s="269"/>
      <c r="T4" s="195"/>
      <c r="U4" s="269"/>
      <c r="V4" s="298"/>
      <c r="Z4" s="328" t="s">
        <v>1108</v>
      </c>
      <c r="AA4" s="380"/>
      <c r="AB4" s="380"/>
      <c r="AC4" s="380"/>
    </row>
    <row r="5" spans="1:29" ht="24" customHeight="1">
      <c r="B5" s="381"/>
      <c r="C5" s="374" t="s">
        <v>332</v>
      </c>
      <c r="D5" s="273" t="s">
        <v>333</v>
      </c>
      <c r="E5" s="273" t="s">
        <v>334</v>
      </c>
      <c r="F5" s="273"/>
      <c r="G5" s="273"/>
      <c r="H5" s="1100" t="s">
        <v>335</v>
      </c>
      <c r="I5" s="1073"/>
      <c r="J5" s="373"/>
      <c r="K5" s="374" t="s">
        <v>336</v>
      </c>
      <c r="L5" s="1086" t="s">
        <v>337</v>
      </c>
      <c r="M5" s="1078"/>
      <c r="N5" s="1086"/>
      <c r="O5" s="374" t="s">
        <v>338</v>
      </c>
      <c r="P5" s="374" t="s">
        <v>0</v>
      </c>
      <c r="Q5" s="374" t="s">
        <v>6</v>
      </c>
      <c r="R5" s="372" t="s">
        <v>341</v>
      </c>
      <c r="S5" s="299" t="s">
        <v>343</v>
      </c>
      <c r="T5" s="300"/>
      <c r="U5" s="373" t="s">
        <v>339</v>
      </c>
      <c r="V5" s="301" t="s">
        <v>340</v>
      </c>
    </row>
    <row r="6" spans="1:29" ht="15" customHeight="1">
      <c r="A6" s="30">
        <v>1</v>
      </c>
      <c r="B6" s="717" t="s">
        <v>1</v>
      </c>
      <c r="C6" s="259" t="s">
        <v>1</v>
      </c>
      <c r="D6" s="284">
        <v>45750</v>
      </c>
      <c r="E6" s="680">
        <v>45768</v>
      </c>
      <c r="F6" s="700">
        <v>45</v>
      </c>
      <c r="G6" s="700">
        <v>46</v>
      </c>
      <c r="H6" s="1085" t="str">
        <f t="shared" ref="H6:H10" si="0">IF($F6=0,"",VLOOKUP($F6,$Y$17:$AH$103,2,0))</f>
        <v>STV Töss ( 2. Liga )</v>
      </c>
      <c r="I6" s="1063"/>
      <c r="J6" s="356"/>
      <c r="K6" s="833" t="str">
        <f t="shared" ref="K6:K10" si="1">IF($G6=0,"",VLOOKUP($G6,$Y$17:$AH$103,2,0))</f>
        <v>SUS Widnau   ( 2. Liga F )</v>
      </c>
      <c r="L6" s="388">
        <v>4</v>
      </c>
      <c r="M6" s="388"/>
      <c r="N6" s="834">
        <v>5</v>
      </c>
      <c r="O6" s="272">
        <v>45782</v>
      </c>
      <c r="P6" s="264">
        <v>0.8125</v>
      </c>
      <c r="Q6" s="279" t="s">
        <v>228</v>
      </c>
      <c r="R6" s="279" t="s">
        <v>1293</v>
      </c>
      <c r="S6" s="288">
        <v>0</v>
      </c>
      <c r="T6" s="745">
        <v>76</v>
      </c>
      <c r="U6" s="282" t="str">
        <f>IF(T6=0,"",VLOOKUP(T6,Schiri_25!$A$2:$E$121,2)&amp;" "&amp;VLOOKUP(T6,Schiri_25!$A$2:E121,5))</f>
        <v>Werder Manuel</v>
      </c>
      <c r="V6" s="824">
        <v>5</v>
      </c>
      <c r="W6" s="34" t="s">
        <v>1</v>
      </c>
      <c r="Z6" s="173" t="s">
        <v>153</v>
      </c>
    </row>
    <row r="7" spans="1:29" ht="15" customHeight="1">
      <c r="A7" s="30">
        <v>2</v>
      </c>
      <c r="B7" s="717" t="s">
        <v>2</v>
      </c>
      <c r="C7" s="259" t="s">
        <v>2</v>
      </c>
      <c r="D7" s="284">
        <v>45755</v>
      </c>
      <c r="E7" s="680">
        <v>45776</v>
      </c>
      <c r="F7" s="700">
        <v>40</v>
      </c>
      <c r="G7" s="700">
        <v>43</v>
      </c>
      <c r="H7" s="1087" t="str">
        <f>IF($F7=0,"",VLOOKUP($F7,$Y$17:$AH$103,2,0))</f>
        <v>STV Elgg ( 2. Liga )</v>
      </c>
      <c r="I7" s="1065"/>
      <c r="J7" s="356"/>
      <c r="K7" s="390" t="str">
        <f t="shared" si="1"/>
        <v>STV Müllheim ( 2. L )</v>
      </c>
      <c r="L7" s="825">
        <v>5</v>
      </c>
      <c r="M7" s="388"/>
      <c r="N7" s="258">
        <v>0</v>
      </c>
      <c r="O7" s="272">
        <v>45778</v>
      </c>
      <c r="P7" s="264">
        <v>0.8125</v>
      </c>
      <c r="Q7" s="279" t="s">
        <v>874</v>
      </c>
      <c r="R7" s="279" t="s">
        <v>874</v>
      </c>
      <c r="S7" s="288">
        <v>0</v>
      </c>
      <c r="T7" s="745">
        <v>79</v>
      </c>
      <c r="U7" s="282" t="str">
        <f>IF(T7=0,"",VLOOKUP(T7,Schiri_25!$A$2:$E$121,2)&amp;" "&amp;VLOOKUP(T7,Schiri_25!$A$2:E122,5))</f>
        <v>Ziereisen Daniel</v>
      </c>
      <c r="V7" s="824">
        <v>5</v>
      </c>
      <c r="W7" s="34" t="s">
        <v>2</v>
      </c>
    </row>
    <row r="8" spans="1:29" ht="15" customHeight="1">
      <c r="A8" s="30">
        <v>3</v>
      </c>
      <c r="B8" s="717" t="s">
        <v>615</v>
      </c>
      <c r="C8" s="259"/>
      <c r="D8" s="284"/>
      <c r="E8" s="680"/>
      <c r="F8" s="700"/>
      <c r="G8" s="700"/>
      <c r="H8" s="1085" t="str">
        <f t="shared" si="0"/>
        <v/>
      </c>
      <c r="I8" s="1063"/>
      <c r="J8" s="356"/>
      <c r="K8" s="390" t="str">
        <f t="shared" si="1"/>
        <v/>
      </c>
      <c r="L8" s="388"/>
      <c r="M8" s="388"/>
      <c r="N8" s="258"/>
      <c r="O8" s="272"/>
      <c r="P8" s="264"/>
      <c r="Q8" s="279"/>
      <c r="R8" s="279"/>
      <c r="S8" s="288"/>
      <c r="T8" s="745"/>
      <c r="U8" s="282" t="str">
        <f>IF(T8=0,"",VLOOKUP(T8,Schiri_25!$A$2:$E$121,2)&amp;" "&amp;VLOOKUP(T8,Schiri_25!$A$2:E123,5))</f>
        <v/>
      </c>
      <c r="V8" s="302"/>
      <c r="W8" s="34" t="s">
        <v>615</v>
      </c>
      <c r="X8" s="183" t="s">
        <v>1011</v>
      </c>
      <c r="Y8" s="176">
        <v>1</v>
      </c>
      <c r="Z8" s="324">
        <v>45754</v>
      </c>
      <c r="AA8" s="1089">
        <v>45772</v>
      </c>
      <c r="AB8" s="1089"/>
      <c r="AC8" s="335" t="s">
        <v>612</v>
      </c>
    </row>
    <row r="9" spans="1:29" ht="15" customHeight="1">
      <c r="A9" s="30">
        <v>4</v>
      </c>
      <c r="B9" s="717" t="s">
        <v>616</v>
      </c>
      <c r="C9" s="259"/>
      <c r="D9" s="284"/>
      <c r="E9" s="680"/>
      <c r="F9" s="700"/>
      <c r="G9" s="700"/>
      <c r="H9" s="1085" t="str">
        <f t="shared" si="0"/>
        <v/>
      </c>
      <c r="I9" s="1063"/>
      <c r="J9" s="356"/>
      <c r="K9" s="390" t="str">
        <f t="shared" si="1"/>
        <v/>
      </c>
      <c r="L9" s="388"/>
      <c r="M9" s="388"/>
      <c r="N9" s="258"/>
      <c r="O9" s="272"/>
      <c r="P9" s="264"/>
      <c r="Q9" s="279"/>
      <c r="R9" s="279"/>
      <c r="S9" s="288"/>
      <c r="T9" s="274"/>
      <c r="U9" s="282" t="str">
        <f>IF(T9=0,"",VLOOKUP(T9,Schiri_25!$A$2:$E$121,2)&amp;" "&amp;VLOOKUP(T9,Schiri_25!$A$2:E124,5))</f>
        <v/>
      </c>
      <c r="V9" s="302"/>
      <c r="W9" s="34" t="s">
        <v>616</v>
      </c>
      <c r="X9" s="183" t="s">
        <v>2</v>
      </c>
      <c r="Y9" s="176">
        <v>2</v>
      </c>
      <c r="Z9" s="324">
        <v>45782</v>
      </c>
      <c r="AA9" s="1089">
        <v>45821</v>
      </c>
      <c r="AB9" s="1089"/>
      <c r="AC9" s="335" t="s">
        <v>1345</v>
      </c>
    </row>
    <row r="10" spans="1:29" ht="15" customHeight="1">
      <c r="A10" s="30">
        <v>5</v>
      </c>
      <c r="B10" s="717" t="s">
        <v>617</v>
      </c>
      <c r="C10" s="259"/>
      <c r="D10" s="284"/>
      <c r="E10" s="680"/>
      <c r="F10" s="700"/>
      <c r="G10" s="700"/>
      <c r="H10" s="1085" t="str">
        <f t="shared" si="0"/>
        <v/>
      </c>
      <c r="I10" s="1063"/>
      <c r="J10" s="356"/>
      <c r="K10" s="390" t="str">
        <f t="shared" si="1"/>
        <v/>
      </c>
      <c r="L10" s="388"/>
      <c r="M10" s="388"/>
      <c r="N10" s="258"/>
      <c r="O10" s="272"/>
      <c r="P10" s="264"/>
      <c r="Q10" s="279"/>
      <c r="R10" s="279"/>
      <c r="S10" s="288"/>
      <c r="T10" s="274"/>
      <c r="U10" s="282" t="str">
        <f>IF(T10=0,"",VLOOKUP(T10,Schiri_25!$A$2:$E$121,2)&amp;" "&amp;VLOOKUP(T10,Schiri_25!$A$2:E125,5))</f>
        <v/>
      </c>
      <c r="V10" s="302"/>
      <c r="W10" s="34" t="s">
        <v>617</v>
      </c>
      <c r="Y10" s="176">
        <v>3</v>
      </c>
      <c r="Z10" s="324">
        <v>45831</v>
      </c>
      <c r="AA10" s="1089">
        <v>45856</v>
      </c>
      <c r="AB10" s="1089"/>
      <c r="AC10" s="157" t="s">
        <v>158</v>
      </c>
    </row>
    <row r="11" spans="1:29" ht="15" customHeight="1">
      <c r="A11" s="30">
        <v>6</v>
      </c>
      <c r="B11" s="717" t="s">
        <v>618</v>
      </c>
      <c r="C11" s="259"/>
      <c r="D11" s="284"/>
      <c r="E11" s="680"/>
      <c r="F11" s="413"/>
      <c r="G11" s="413"/>
      <c r="H11" s="1085" t="str">
        <f t="shared" ref="H11:H21" si="2">IF($F11=0,"",VLOOKUP($F11,$Y$17:$AH$103,2,0))</f>
        <v/>
      </c>
      <c r="I11" s="1063"/>
      <c r="J11" s="356"/>
      <c r="K11" s="390" t="str">
        <f t="shared" ref="K11:K21" si="3">IF($G11=0,"",VLOOKUP($G11,$Y$17:$AH$103,2,0))</f>
        <v/>
      </c>
      <c r="L11" s="388"/>
      <c r="M11" s="388"/>
      <c r="N11" s="258"/>
      <c r="O11" s="272"/>
      <c r="P11" s="264"/>
      <c r="Q11" s="279"/>
      <c r="R11" s="279"/>
      <c r="S11" s="288"/>
      <c r="T11" s="274"/>
      <c r="U11" s="282" t="str">
        <f>IF(T11=0,"",VLOOKUP(T11,Schiri_25!$A$2:$E$121,2)&amp;" "&amp;VLOOKUP(T11,Schiri_25!$A$2:E126,5))</f>
        <v/>
      </c>
      <c r="V11" s="302"/>
      <c r="W11" s="34" t="s">
        <v>618</v>
      </c>
      <c r="X11" s="183" t="s">
        <v>1011</v>
      </c>
      <c r="Y11" s="176">
        <v>4</v>
      </c>
      <c r="Z11" s="324">
        <v>45866</v>
      </c>
      <c r="AA11" s="1089">
        <v>45884</v>
      </c>
      <c r="AB11" s="1089"/>
      <c r="AC11" s="157" t="s">
        <v>159</v>
      </c>
    </row>
    <row r="12" spans="1:29" ht="15" customHeight="1">
      <c r="A12" s="30">
        <v>7</v>
      </c>
      <c r="B12" s="718" t="s">
        <v>619</v>
      </c>
      <c r="C12" s="259"/>
      <c r="D12" s="284"/>
      <c r="E12" s="680"/>
      <c r="F12" s="413"/>
      <c r="G12" s="413"/>
      <c r="H12" s="1085" t="str">
        <f t="shared" si="2"/>
        <v/>
      </c>
      <c r="I12" s="1063"/>
      <c r="J12" s="356"/>
      <c r="K12" s="390" t="str">
        <f t="shared" si="3"/>
        <v/>
      </c>
      <c r="L12" s="388"/>
      <c r="M12" s="388"/>
      <c r="N12" s="258"/>
      <c r="O12" s="272"/>
      <c r="P12" s="264"/>
      <c r="Q12" s="279"/>
      <c r="R12" s="279"/>
      <c r="S12" s="288"/>
      <c r="T12" s="274"/>
      <c r="U12" s="282" t="str">
        <f>IF(T12=0,"",VLOOKUP(T12,Schiri_25!$A$2:$E$121,2)&amp;" "&amp;VLOOKUP(T12,Schiri_25!$A$2:E127,5))</f>
        <v/>
      </c>
      <c r="V12" s="302"/>
      <c r="Y12" s="176">
        <v>5</v>
      </c>
      <c r="Z12" s="324">
        <v>45887</v>
      </c>
      <c r="AA12" s="1089">
        <v>45905</v>
      </c>
      <c r="AB12" s="1089"/>
      <c r="AC12" s="157" t="s">
        <v>160</v>
      </c>
    </row>
    <row r="13" spans="1:29" ht="15" customHeight="1">
      <c r="A13" s="30">
        <v>8</v>
      </c>
      <c r="B13" s="718" t="s">
        <v>620</v>
      </c>
      <c r="C13" s="259"/>
      <c r="D13" s="284"/>
      <c r="E13" s="285"/>
      <c r="F13" s="316"/>
      <c r="G13" s="316"/>
      <c r="H13" s="1085" t="str">
        <f t="shared" si="2"/>
        <v/>
      </c>
      <c r="I13" s="1063"/>
      <c r="J13" s="356"/>
      <c r="K13" s="390" t="str">
        <f t="shared" si="3"/>
        <v/>
      </c>
      <c r="L13" s="388"/>
      <c r="M13" s="388"/>
      <c r="N13" s="258"/>
      <c r="O13" s="272"/>
      <c r="P13" s="264"/>
      <c r="Q13" s="279"/>
      <c r="R13" s="279"/>
      <c r="S13" s="288"/>
      <c r="T13" s="274"/>
      <c r="U13" s="282" t="str">
        <f>IF(T13=0,"",VLOOKUP(T13,Schiri_25!$A$2:$E$121,2)&amp;" "&amp;VLOOKUP(T13,Schiri_25!$A$2:E128,5))</f>
        <v/>
      </c>
      <c r="V13" s="302"/>
      <c r="Y13" s="176">
        <v>6</v>
      </c>
      <c r="Z13" s="325">
        <v>45920</v>
      </c>
      <c r="AA13" s="326"/>
      <c r="AC13" s="332" t="s">
        <v>161</v>
      </c>
    </row>
    <row r="14" spans="1:29" ht="15" customHeight="1">
      <c r="A14" s="30">
        <v>9</v>
      </c>
      <c r="B14" s="718" t="s">
        <v>362</v>
      </c>
      <c r="C14" s="259"/>
      <c r="D14" s="284"/>
      <c r="E14" s="285"/>
      <c r="F14" s="316"/>
      <c r="G14" s="316"/>
      <c r="H14" s="1085" t="str">
        <f t="shared" si="2"/>
        <v/>
      </c>
      <c r="I14" s="1063"/>
      <c r="J14" s="356"/>
      <c r="K14" s="390" t="str">
        <f t="shared" si="3"/>
        <v/>
      </c>
      <c r="L14" s="388"/>
      <c r="M14" s="388"/>
      <c r="N14" s="258"/>
      <c r="O14" s="272"/>
      <c r="P14" s="264"/>
      <c r="Q14" s="279"/>
      <c r="R14" s="279"/>
      <c r="S14" s="288"/>
      <c r="T14" s="274"/>
      <c r="U14" s="282" t="str">
        <f>IF(T14=0,"",VLOOKUP(T14,Schiri_25!$A$2:$E$121,2)&amp;" "&amp;VLOOKUP(T14,Schiri_25!$A$2:E129,5))</f>
        <v/>
      </c>
      <c r="V14" s="302"/>
      <c r="Y14" s="176">
        <v>7</v>
      </c>
      <c r="Z14" s="325">
        <v>45927</v>
      </c>
      <c r="AA14" s="326"/>
      <c r="AC14" s="332" t="s">
        <v>613</v>
      </c>
    </row>
    <row r="15" spans="1:29" ht="15" customHeight="1">
      <c r="A15" s="30">
        <v>10</v>
      </c>
      <c r="B15" s="718" t="s">
        <v>621</v>
      </c>
      <c r="C15" s="259"/>
      <c r="D15" s="284"/>
      <c r="E15" s="285"/>
      <c r="F15" s="316"/>
      <c r="G15" s="316"/>
      <c r="H15" s="1085" t="str">
        <f t="shared" si="2"/>
        <v/>
      </c>
      <c r="I15" s="1063"/>
      <c r="J15" s="356"/>
      <c r="K15" s="390" t="str">
        <f t="shared" si="3"/>
        <v/>
      </c>
      <c r="L15" s="388"/>
      <c r="M15" s="388"/>
      <c r="N15" s="258"/>
      <c r="O15" s="272"/>
      <c r="P15" s="264"/>
      <c r="Q15" s="279"/>
      <c r="R15" s="279"/>
      <c r="S15" s="288"/>
      <c r="T15" s="274"/>
      <c r="U15" s="282" t="str">
        <f>IF(T15=0,"",VLOOKUP(T15,Schiri_25!$A$2:$E$121,2)&amp;" "&amp;VLOOKUP(T15,Schiri_25!$A$2:E130,5))</f>
        <v/>
      </c>
      <c r="V15" s="302"/>
    </row>
    <row r="16" spans="1:29" ht="15" customHeight="1">
      <c r="A16" s="30">
        <v>11</v>
      </c>
      <c r="B16" s="718" t="s">
        <v>622</v>
      </c>
      <c r="C16" s="259"/>
      <c r="D16" s="284"/>
      <c r="E16" s="285"/>
      <c r="F16" s="316"/>
      <c r="G16" s="316"/>
      <c r="H16" s="1085" t="str">
        <f t="shared" si="2"/>
        <v/>
      </c>
      <c r="I16" s="1063"/>
      <c r="J16" s="356"/>
      <c r="K16" s="390" t="str">
        <f t="shared" si="3"/>
        <v/>
      </c>
      <c r="L16" s="388"/>
      <c r="M16" s="388"/>
      <c r="N16" s="258"/>
      <c r="O16" s="272"/>
      <c r="P16" s="264"/>
      <c r="Q16" s="279"/>
      <c r="R16" s="279"/>
      <c r="S16" s="288"/>
      <c r="T16" s="274"/>
      <c r="U16" s="282" t="str">
        <f>IF(T16=0,"",VLOOKUP(T16,Schiri_25!$A$2:$E$121,2)&amp;" "&amp;VLOOKUP(T16,Schiri_25!$A$2:E131,5))</f>
        <v/>
      </c>
      <c r="V16" s="303"/>
      <c r="Z16" s="173" t="s">
        <v>655</v>
      </c>
    </row>
    <row r="17" spans="1:31" ht="15" customHeight="1">
      <c r="A17" s="30">
        <v>12</v>
      </c>
      <c r="B17" s="718" t="s">
        <v>623</v>
      </c>
      <c r="C17" s="259"/>
      <c r="D17" s="285"/>
      <c r="E17" s="285"/>
      <c r="F17" s="316"/>
      <c r="G17" s="316"/>
      <c r="H17" s="1085" t="str">
        <f t="shared" si="2"/>
        <v/>
      </c>
      <c r="I17" s="1063"/>
      <c r="J17" s="356"/>
      <c r="K17" s="390" t="str">
        <f t="shared" si="3"/>
        <v/>
      </c>
      <c r="L17" s="388"/>
      <c r="M17" s="388"/>
      <c r="N17" s="258"/>
      <c r="O17" s="272"/>
      <c r="P17" s="264"/>
      <c r="Q17" s="279"/>
      <c r="R17" s="279"/>
      <c r="S17" s="288"/>
      <c r="T17" s="274"/>
      <c r="U17" s="282" t="str">
        <f>IF(T17=0,"",VLOOKUP(T17,Schiri_25!$A$2:$E$121,2)&amp;" "&amp;VLOOKUP(T17,Schiri_25!$A$2:E132,5))</f>
        <v/>
      </c>
      <c r="V17" s="303"/>
      <c r="Y17" s="176" t="s">
        <v>1</v>
      </c>
      <c r="Z17" s="179" t="str">
        <f>IF('CH Cup Tableau 2025'!$F8&gt;'CH Cup Tableau 2025'!$F10,'CH Cup Tableau 2025'!C8,'CH Cup Tableau 2025'!$C10)</f>
        <v>SUS Widnau   ( 2. Liga F )</v>
      </c>
      <c r="AA17" s="172" t="s">
        <v>1</v>
      </c>
    </row>
    <row r="18" spans="1:31" ht="15" customHeight="1">
      <c r="A18" s="30">
        <v>13</v>
      </c>
      <c r="B18" s="718" t="s">
        <v>624</v>
      </c>
      <c r="C18" s="259"/>
      <c r="D18" s="284"/>
      <c r="E18" s="285"/>
      <c r="F18" s="316"/>
      <c r="G18" s="316"/>
      <c r="H18" s="1085" t="str">
        <f t="shared" si="2"/>
        <v/>
      </c>
      <c r="I18" s="1063"/>
      <c r="J18" s="356"/>
      <c r="K18" s="390" t="str">
        <f t="shared" si="3"/>
        <v/>
      </c>
      <c r="L18" s="258"/>
      <c r="M18" s="388"/>
      <c r="N18" s="258"/>
      <c r="O18" s="272"/>
      <c r="P18" s="264"/>
      <c r="Q18" s="279"/>
      <c r="R18" s="279"/>
      <c r="S18" s="288"/>
      <c r="T18" s="274"/>
      <c r="U18" s="282" t="str">
        <f>IF(T18=0,"",VLOOKUP(T18,Schiri_25!$A$2:$E$121,2)&amp;" "&amp;VLOOKUP(T18,Schiri_25!$A$2:E133,5))</f>
        <v/>
      </c>
      <c r="V18" s="303"/>
      <c r="Y18" s="176">
        <v>9</v>
      </c>
      <c r="Z18" s="179" t="str">
        <f>IF('CH Cup Tableau 2025'!$F14&gt;'CH Cup Tableau 2025'!$F16,'CH Cup Tableau 2025'!C14,'CH Cup Tableau 2025'!$C16)</f>
        <v>STV Elgg ( 2. Liga )</v>
      </c>
      <c r="AA18" s="172" t="s">
        <v>2</v>
      </c>
      <c r="AC18" s="385" t="s">
        <v>1294</v>
      </c>
    </row>
    <row r="19" spans="1:31" ht="15" customHeight="1">
      <c r="A19" s="30">
        <v>14</v>
      </c>
      <c r="B19" s="718" t="s">
        <v>625</v>
      </c>
      <c r="C19" s="259"/>
      <c r="D19" s="285"/>
      <c r="E19" s="285"/>
      <c r="F19" s="316"/>
      <c r="G19" s="316"/>
      <c r="H19" s="1085" t="str">
        <f t="shared" si="2"/>
        <v/>
      </c>
      <c r="I19" s="1063"/>
      <c r="J19" s="356"/>
      <c r="K19" s="390" t="str">
        <f t="shared" si="3"/>
        <v/>
      </c>
      <c r="L19" s="258"/>
      <c r="M19" s="388"/>
      <c r="N19" s="258"/>
      <c r="O19" s="272"/>
      <c r="P19" s="264"/>
      <c r="Q19" s="279"/>
      <c r="R19" s="279"/>
      <c r="S19" s="288"/>
      <c r="T19" s="274"/>
      <c r="U19" s="282" t="str">
        <f>IF(T19=0,"",VLOOKUP(T19,Schiri_25!$A$2:$E$121,2)&amp;" "&amp;VLOOKUP(T19,Schiri_25!$A$2:E134,5))</f>
        <v/>
      </c>
      <c r="V19" s="303"/>
      <c r="Y19" s="176">
        <v>10</v>
      </c>
      <c r="Z19" s="179" t="str">
        <f>IF('CH Cup Tableau 2025'!$F20&gt;'CH Cup Tableau 2025'!$F22,'CH Cup Tableau 2025'!C20,'CH Cup Tableau 2025'!$C22)</f>
        <v xml:space="preserve"> </v>
      </c>
      <c r="AA19" s="172" t="s">
        <v>615</v>
      </c>
    </row>
    <row r="20" spans="1:31" ht="15" customHeight="1">
      <c r="A20" s="30">
        <v>15</v>
      </c>
      <c r="B20" s="718" t="s">
        <v>626</v>
      </c>
      <c r="C20" s="259"/>
      <c r="D20" s="284"/>
      <c r="E20" s="285"/>
      <c r="F20" s="316"/>
      <c r="G20" s="316"/>
      <c r="H20" s="1085" t="str">
        <f t="shared" si="2"/>
        <v/>
      </c>
      <c r="I20" s="1063"/>
      <c r="J20" s="356"/>
      <c r="K20" s="390" t="str">
        <f t="shared" si="3"/>
        <v/>
      </c>
      <c r="L20" s="258"/>
      <c r="M20" s="388"/>
      <c r="N20" s="258"/>
      <c r="O20" s="272"/>
      <c r="P20" s="264"/>
      <c r="Q20" s="279"/>
      <c r="R20" s="279"/>
      <c r="S20" s="288"/>
      <c r="T20" s="274"/>
      <c r="U20" s="282" t="str">
        <f>IF(T20=0,"",VLOOKUP(T20,Schiri_25!A16:E135,2)&amp;" "&amp;VLOOKUP(T20,Schiri_25!A16:E135,5))</f>
        <v/>
      </c>
      <c r="V20" s="303"/>
      <c r="Y20" s="176">
        <v>11</v>
      </c>
      <c r="Z20" s="179" t="str">
        <f>IF('CH Cup Tableau 2025'!$F26&gt;'CH Cup Tableau 2025'!$F28,'CH Cup Tableau 2025'!C26,'CH Cup Tableau 2025'!$C28)</f>
        <v xml:space="preserve"> </v>
      </c>
      <c r="AA20" s="172" t="s">
        <v>616</v>
      </c>
      <c r="AC20" s="739" t="s">
        <v>1007</v>
      </c>
    </row>
    <row r="21" spans="1:31" ht="15" customHeight="1">
      <c r="A21" s="30">
        <v>16</v>
      </c>
      <c r="B21" s="718" t="s">
        <v>627</v>
      </c>
      <c r="C21" s="259"/>
      <c r="D21" s="285"/>
      <c r="E21" s="285"/>
      <c r="F21" s="316"/>
      <c r="G21" s="316"/>
      <c r="H21" s="1085" t="str">
        <f t="shared" si="2"/>
        <v/>
      </c>
      <c r="I21" s="1063"/>
      <c r="J21" s="356"/>
      <c r="K21" s="390" t="str">
        <f t="shared" si="3"/>
        <v/>
      </c>
      <c r="L21" s="258"/>
      <c r="M21" s="388"/>
      <c r="N21" s="258"/>
      <c r="O21" s="272"/>
      <c r="P21" s="264"/>
      <c r="Q21" s="279"/>
      <c r="R21" s="279"/>
      <c r="S21" s="288"/>
      <c r="T21" s="274"/>
      <c r="U21" s="282" t="str">
        <f>IF(T21=0,"",VLOOKUP(T21,Schiri_25!$A$2:$L$129,2,0)&amp;"  "&amp;VLOOKUP(T21,Schiri_25!$A$2:$L$129,3,0))</f>
        <v/>
      </c>
      <c r="V21" s="303"/>
      <c r="Y21" s="176">
        <v>12</v>
      </c>
      <c r="Z21" s="179" t="str">
        <f>IF('CH Cup Tableau 2025'!$F32&gt;'CH Cup Tableau 2025'!$F34,'CH Cup Tableau 2025'!C32,'CH Cup Tableau 2025'!$C34)</f>
        <v xml:space="preserve"> </v>
      </c>
      <c r="AA21" s="172" t="s">
        <v>617</v>
      </c>
      <c r="AE21" s="1"/>
    </row>
    <row r="22" spans="1:31" ht="15" customHeight="1" thickBot="1">
      <c r="B22" s="382"/>
      <c r="C22" s="262"/>
      <c r="D22" s="286"/>
      <c r="E22" s="286"/>
      <c r="F22" s="276"/>
      <c r="G22" s="276"/>
      <c r="H22" s="1060" t="str">
        <f>IF($F22=0,"",VLOOKUP($F22,'Adressen Daten 25'!$A$3:$P$56,9,0)&amp;" "&amp;VLOOKUP($F22,'Adressen Daten 25'!$A$3:$P$56,10,0))</f>
        <v/>
      </c>
      <c r="I22" s="1066"/>
      <c r="J22" s="376"/>
      <c r="K22" s="270"/>
      <c r="L22" s="260"/>
      <c r="M22" s="260"/>
      <c r="N22" s="260"/>
      <c r="O22" s="271"/>
      <c r="P22" s="262"/>
      <c r="Q22" s="260"/>
      <c r="R22" s="260"/>
      <c r="S22" s="289"/>
      <c r="T22" s="275"/>
      <c r="U22" s="283" t="str">
        <f>IF(T22=0,"",VLOOKUP(T22,Schiri_25!$A$2:$L$129,2,0)&amp;"  "&amp;VLOOKUP(T22,Schiri_25!$A$2:$L$129,3,0))</f>
        <v/>
      </c>
      <c r="V22" s="512">
        <f>SUM(V6:V21)</f>
        <v>10</v>
      </c>
      <c r="Y22" s="176">
        <v>13</v>
      </c>
      <c r="Z22" s="179" t="str">
        <f>IF('CH Cup Tableau 2025'!$F38&gt;'CH Cup Tableau 2025'!$F40,'CH Cup Tableau 2025'!$C38,'CH Cup Tableau 2025'!$C40)</f>
        <v xml:space="preserve"> </v>
      </c>
      <c r="AA22" s="172" t="s">
        <v>618</v>
      </c>
      <c r="AC22" s="836" t="s">
        <v>1316</v>
      </c>
      <c r="AE22" s="1"/>
    </row>
    <row r="23" spans="1:31" ht="15" customHeight="1">
      <c r="B23" s="1">
        <v>1</v>
      </c>
      <c r="C23" s="261">
        <v>2</v>
      </c>
      <c r="D23" s="1">
        <v>3</v>
      </c>
      <c r="E23" s="261">
        <v>4</v>
      </c>
      <c r="F23" s="1">
        <v>5</v>
      </c>
      <c r="I23" s="261">
        <v>6</v>
      </c>
      <c r="J23" s="261"/>
      <c r="K23" s="1">
        <v>9</v>
      </c>
      <c r="L23" s="261">
        <v>10</v>
      </c>
      <c r="M23" s="261"/>
      <c r="N23" s="261">
        <v>12</v>
      </c>
      <c r="O23" s="1">
        <v>13</v>
      </c>
      <c r="P23" s="261">
        <v>14</v>
      </c>
      <c r="Q23" s="1">
        <v>15</v>
      </c>
      <c r="R23" s="261">
        <v>16</v>
      </c>
      <c r="S23" s="1">
        <v>17</v>
      </c>
      <c r="T23" s="261">
        <v>18</v>
      </c>
      <c r="U23" s="1">
        <v>19</v>
      </c>
      <c r="V23" s="261"/>
      <c r="Y23" s="176">
        <v>14</v>
      </c>
      <c r="Z23" s="179" t="str">
        <f>IF('CH Cup Tableau 2025'!$F45&gt;'CH Cup Tableau 2025'!$F47,'CH Cup Tableau 2025'!$C45,'CH Cup Tableau 2025'!$C47)</f>
        <v/>
      </c>
      <c r="AA23" s="172" t="s">
        <v>619</v>
      </c>
      <c r="AC23" s="1" t="s">
        <v>1012</v>
      </c>
      <c r="AE23" s="1"/>
    </row>
    <row r="24" spans="1:31" ht="15" customHeight="1" thickBot="1">
      <c r="U24" s="1" t="s">
        <v>340</v>
      </c>
      <c r="V24" s="287"/>
      <c r="Y24" s="176">
        <v>15</v>
      </c>
      <c r="Z24" s="179" t="str">
        <f>IF('CH Cup Tableau 2025'!$F51&gt;'CH Cup Tableau 2025'!$F53,'CH Cup Tableau 2025'!$C51,'CH Cup Tableau 2025'!$C53)</f>
        <v/>
      </c>
      <c r="AA24" s="172" t="s">
        <v>620</v>
      </c>
      <c r="AC24" s="1" t="s">
        <v>1013</v>
      </c>
      <c r="AE24" s="1"/>
    </row>
    <row r="25" spans="1:31" ht="15" customHeight="1" thickBot="1">
      <c r="B25" s="378"/>
      <c r="C25" s="1067" t="str">
        <f>VLOOKUP($C$26,$Y$8:$AC$14,5,0)</f>
        <v xml:space="preserve">1/16 Final </v>
      </c>
      <c r="D25" s="1068"/>
      <c r="E25" s="1068"/>
      <c r="F25" s="1069"/>
      <c r="G25" s="294"/>
      <c r="H25" s="1070">
        <f>VLOOKUP($C$26,$Y$8:$AC$14,2,0)</f>
        <v>45782</v>
      </c>
      <c r="I25" s="1071"/>
      <c r="J25" s="355"/>
      <c r="K25" s="317">
        <f>VLOOKUP($C$26,$Y$8:$AC$14,3,0)</f>
        <v>45821</v>
      </c>
      <c r="L25" s="295"/>
      <c r="M25" s="295"/>
      <c r="N25" s="295"/>
      <c r="O25" s="295"/>
      <c r="P25" s="295"/>
      <c r="Q25" s="295"/>
      <c r="R25" s="295"/>
      <c r="S25" s="295"/>
      <c r="T25" s="296"/>
      <c r="U25" s="295"/>
      <c r="V25" s="482"/>
      <c r="Y25" s="176">
        <v>16</v>
      </c>
      <c r="Z25" s="179" t="str">
        <f>IF('CH Cup Tableau 2025'!$F57&gt;'CH Cup Tableau 2025'!$F59,'CH Cup Tableau 2025'!$C57,'CH Cup Tableau 2025'!$C59)</f>
        <v/>
      </c>
      <c r="AA25" s="172" t="s">
        <v>362</v>
      </c>
      <c r="AE25" s="1"/>
    </row>
    <row r="26" spans="1:31" ht="15" customHeight="1">
      <c r="B26" s="379"/>
      <c r="C26" s="195">
        <v>2</v>
      </c>
      <c r="D26" s="269"/>
      <c r="E26" s="269"/>
      <c r="F26" s="268"/>
      <c r="G26" s="268"/>
      <c r="H26" s="1076"/>
      <c r="I26" s="1077"/>
      <c r="J26" s="269"/>
      <c r="K26" s="297"/>
      <c r="L26" s="269"/>
      <c r="M26" s="269"/>
      <c r="N26" s="269"/>
      <c r="O26" s="269"/>
      <c r="P26" s="269"/>
      <c r="Q26" s="269"/>
      <c r="R26" s="269"/>
      <c r="S26" s="269"/>
      <c r="T26" s="195"/>
      <c r="U26" s="269"/>
      <c r="V26" s="298"/>
      <c r="Y26" s="176">
        <v>17</v>
      </c>
      <c r="Z26" s="179" t="s">
        <v>134</v>
      </c>
      <c r="AA26" s="172" t="s">
        <v>621</v>
      </c>
      <c r="AC26" s="839" t="s">
        <v>1326</v>
      </c>
      <c r="AE26" s="1"/>
    </row>
    <row r="27" spans="1:31" ht="23">
      <c r="B27" s="483"/>
      <c r="C27" s="480" t="s">
        <v>332</v>
      </c>
      <c r="D27" s="484" t="s">
        <v>333</v>
      </c>
      <c r="E27" s="530" t="s">
        <v>817</v>
      </c>
      <c r="F27" s="484"/>
      <c r="G27" s="484"/>
      <c r="H27" s="1072" t="s">
        <v>335</v>
      </c>
      <c r="I27" s="1073"/>
      <c r="J27" s="373"/>
      <c r="K27" s="480" t="s">
        <v>336</v>
      </c>
      <c r="L27" s="1078" t="s">
        <v>337</v>
      </c>
      <c r="M27" s="1078"/>
      <c r="N27" s="1078"/>
      <c r="O27" s="480" t="s">
        <v>338</v>
      </c>
      <c r="P27" s="480" t="s">
        <v>0</v>
      </c>
      <c r="Q27" s="480" t="s">
        <v>6</v>
      </c>
      <c r="R27" s="485" t="s">
        <v>341</v>
      </c>
      <c r="S27" s="299" t="s">
        <v>343</v>
      </c>
      <c r="T27" s="486"/>
      <c r="U27" s="373" t="s">
        <v>339</v>
      </c>
      <c r="V27" s="487" t="s">
        <v>340</v>
      </c>
      <c r="Y27" s="176">
        <v>18</v>
      </c>
      <c r="AA27" s="172" t="s">
        <v>622</v>
      </c>
      <c r="AE27" s="1"/>
    </row>
    <row r="28" spans="1:31" ht="15" customHeight="1">
      <c r="B28" s="716">
        <v>1</v>
      </c>
      <c r="C28" s="413">
        <v>1</v>
      </c>
      <c r="D28" s="472">
        <v>45768</v>
      </c>
      <c r="E28" s="832">
        <v>45792</v>
      </c>
      <c r="F28" s="413">
        <v>56</v>
      </c>
      <c r="G28" s="413">
        <v>71</v>
      </c>
      <c r="H28" s="1074" t="str">
        <f t="shared" ref="H28:H35" si="4">IF($F28=0,"",VLOOKUP($F28,$Y$17:$Z$94,2,0))</f>
        <v>TSV Jona 1( NLB O )</v>
      </c>
      <c r="I28" s="1075"/>
      <c r="J28" s="356"/>
      <c r="K28" s="516" t="str">
        <f>IF($G28=0,"",VLOOKUP($G28,$Y$17:$Z$94,2,0))</f>
        <v>STV Wigoltingen   ( NLA )</v>
      </c>
      <c r="L28" s="844">
        <v>5</v>
      </c>
      <c r="M28" s="388"/>
      <c r="N28" s="388">
        <v>2</v>
      </c>
      <c r="O28" s="474">
        <v>45827</v>
      </c>
      <c r="P28" s="475">
        <v>0.8125</v>
      </c>
      <c r="Q28" s="488" t="s">
        <v>20</v>
      </c>
      <c r="R28" s="488" t="s">
        <v>1310</v>
      </c>
      <c r="S28" s="476">
        <v>2</v>
      </c>
      <c r="T28" s="489">
        <v>57</v>
      </c>
      <c r="U28" s="282" t="str">
        <f>IF(T28=0,"",VLOOKUP(T28,Schiri_25!$A$2:$E$121,2)&amp;" "&amp;VLOOKUP(T28,Schiri_25!$A$2:E143,5))</f>
        <v>Friedlos Manfred</v>
      </c>
      <c r="V28" s="823">
        <v>14</v>
      </c>
      <c r="W28" s="1">
        <v>1</v>
      </c>
      <c r="Y28" s="176">
        <v>19</v>
      </c>
      <c r="Z28" s="1" t="s">
        <v>629</v>
      </c>
      <c r="AA28" s="172" t="s">
        <v>623</v>
      </c>
      <c r="AE28" s="1"/>
    </row>
    <row r="29" spans="1:31" ht="15" customHeight="1">
      <c r="B29" s="716">
        <v>2</v>
      </c>
      <c r="C29" s="413">
        <v>2</v>
      </c>
      <c r="D29" s="472">
        <v>45768</v>
      </c>
      <c r="E29" s="832">
        <v>45818</v>
      </c>
      <c r="F29" s="413">
        <v>58</v>
      </c>
      <c r="G29" s="413">
        <v>54</v>
      </c>
      <c r="H29" s="1062" t="str">
        <f t="shared" si="4"/>
        <v>TV Oberwinterthur  (NLB )</v>
      </c>
      <c r="I29" s="1063"/>
      <c r="J29" s="356"/>
      <c r="K29" s="837" t="str">
        <f t="shared" ref="K29:K43" si="5">IF($G29=0,"",VLOOKUP($G29,$Y$17:$Z$94,2,0))</f>
        <v>STV Dozwil ( NLB O )</v>
      </c>
      <c r="L29" s="388">
        <v>2</v>
      </c>
      <c r="M29" s="388"/>
      <c r="N29" s="825">
        <v>5</v>
      </c>
      <c r="O29" s="474">
        <v>45824</v>
      </c>
      <c r="P29" s="475">
        <v>0.8125</v>
      </c>
      <c r="Q29" s="488" t="s">
        <v>1329</v>
      </c>
      <c r="R29" s="488" t="s">
        <v>1341</v>
      </c>
      <c r="S29" s="476">
        <v>0</v>
      </c>
      <c r="T29" s="489">
        <v>7</v>
      </c>
      <c r="U29" s="282" t="str">
        <f>IF(T29=0,"",VLOOKUP(T29,Schiri_25!$A$2:$E$121,2)&amp;" "&amp;VLOOKUP(T29,Schiri_25!$A$2:E144,5))</f>
        <v>Graf Daniel</v>
      </c>
      <c r="V29" s="823">
        <v>3</v>
      </c>
      <c r="W29" s="838">
        <v>2</v>
      </c>
      <c r="Y29" s="176">
        <v>20</v>
      </c>
      <c r="Z29" s="1" t="s">
        <v>630</v>
      </c>
      <c r="AA29" s="172" t="s">
        <v>624</v>
      </c>
    </row>
    <row r="30" spans="1:31" ht="15" customHeight="1">
      <c r="B30" s="716">
        <v>3</v>
      </c>
      <c r="C30" s="413">
        <v>3</v>
      </c>
      <c r="D30" s="472">
        <v>45768</v>
      </c>
      <c r="E30" s="832">
        <v>45774</v>
      </c>
      <c r="F30" s="413">
        <v>42</v>
      </c>
      <c r="G30" s="413">
        <v>59</v>
      </c>
      <c r="H30" s="1062" t="str">
        <f t="shared" si="4"/>
        <v>STV Felben-W.hausen ( 2. Liga )</v>
      </c>
      <c r="I30" s="1063"/>
      <c r="J30" s="356"/>
      <c r="K30" s="837" t="str">
        <f t="shared" si="5"/>
        <v>STV Rickenbach-Wilen 2 ( NLB )</v>
      </c>
      <c r="L30" s="388">
        <v>3</v>
      </c>
      <c r="M30" s="388"/>
      <c r="N30" s="825">
        <v>5</v>
      </c>
      <c r="O30" s="474">
        <v>45799</v>
      </c>
      <c r="P30" s="475">
        <v>0.79166666666666663</v>
      </c>
      <c r="Q30" s="488" t="s">
        <v>1298</v>
      </c>
      <c r="R30" s="488" t="s">
        <v>1299</v>
      </c>
      <c r="S30" s="476">
        <v>0</v>
      </c>
      <c r="T30" s="489">
        <v>43</v>
      </c>
      <c r="U30" s="282" t="str">
        <f>IF(T30=0,"",VLOOKUP(T30,Schiri_25!$A$2:$E$121,2)&amp;" "&amp;VLOOKUP(T30,Schiri_25!$A$2:E145,5))</f>
        <v>Tenini Rico</v>
      </c>
      <c r="V30" s="823">
        <v>14</v>
      </c>
      <c r="W30" s="838">
        <v>3</v>
      </c>
      <c r="Y30" s="176">
        <v>21</v>
      </c>
      <c r="Z30" s="1" t="s">
        <v>631</v>
      </c>
      <c r="AA30" s="183" t="s">
        <v>626</v>
      </c>
    </row>
    <row r="31" spans="1:31" ht="15" customHeight="1">
      <c r="B31" s="716">
        <v>4</v>
      </c>
      <c r="C31" s="413">
        <v>4</v>
      </c>
      <c r="D31" s="472">
        <v>45768</v>
      </c>
      <c r="E31" s="832">
        <v>45795</v>
      </c>
      <c r="F31" s="413">
        <v>55</v>
      </c>
      <c r="G31" s="413">
        <f>'CH Cup Tableau 2025'!H28</f>
        <v>65</v>
      </c>
      <c r="H31" s="1062" t="str">
        <f t="shared" si="4"/>
        <v>FG Elgg-Ettenhausen 2 ( NLB O )</v>
      </c>
      <c r="I31" s="1063"/>
      <c r="J31" s="356"/>
      <c r="K31" s="837" t="str">
        <f t="shared" si="5"/>
        <v>SVD Diepoldsau-Schmitter (NLA)</v>
      </c>
      <c r="L31" s="388">
        <v>3</v>
      </c>
      <c r="M31" s="388"/>
      <c r="N31" s="825">
        <v>5</v>
      </c>
      <c r="O31" s="474">
        <v>45813</v>
      </c>
      <c r="P31" s="475">
        <v>0.8125</v>
      </c>
      <c r="Q31" s="488" t="s">
        <v>1330</v>
      </c>
      <c r="R31" s="488" t="s">
        <v>1331</v>
      </c>
      <c r="S31" s="476">
        <v>2</v>
      </c>
      <c r="T31" s="489">
        <v>79</v>
      </c>
      <c r="U31" s="282" t="str">
        <f>IF(T31=0,"",VLOOKUP(T31,Schiri_25!$A$2:$E$121,2)&amp;" "&amp;VLOOKUP(T31,Schiri_25!$A$2:E146,5))</f>
        <v>Ziereisen Daniel</v>
      </c>
      <c r="V31" s="823">
        <v>6</v>
      </c>
      <c r="W31" s="1">
        <v>4</v>
      </c>
      <c r="Y31" s="176">
        <v>22</v>
      </c>
      <c r="Z31" s="1" t="s">
        <v>632</v>
      </c>
      <c r="AA31" s="183" t="s">
        <v>627</v>
      </c>
    </row>
    <row r="32" spans="1:31" ht="15" customHeight="1">
      <c r="B32" s="716">
        <v>5</v>
      </c>
      <c r="C32" s="413">
        <v>5</v>
      </c>
      <c r="D32" s="472">
        <v>45768</v>
      </c>
      <c r="E32" s="832">
        <v>45785</v>
      </c>
      <c r="F32" s="413">
        <v>53</v>
      </c>
      <c r="G32" s="413">
        <v>67</v>
      </c>
      <c r="H32" s="1062" t="str">
        <f t="shared" si="4"/>
        <v>STV Dägerlen ( NLB O )</v>
      </c>
      <c r="I32" s="1063"/>
      <c r="J32" s="356"/>
      <c r="K32" s="837" t="str">
        <f t="shared" si="5"/>
        <v>FG Fricktal ( NLA  )</v>
      </c>
      <c r="L32" s="388">
        <v>1</v>
      </c>
      <c r="M32" s="388"/>
      <c r="N32" s="825">
        <v>5</v>
      </c>
      <c r="O32" s="474">
        <v>45799</v>
      </c>
      <c r="P32" s="475">
        <v>0.8125</v>
      </c>
      <c r="Q32" s="488" t="s">
        <v>1307</v>
      </c>
      <c r="R32" s="488" t="s">
        <v>1308</v>
      </c>
      <c r="S32" s="476">
        <v>2</v>
      </c>
      <c r="T32" s="489">
        <v>7</v>
      </c>
      <c r="U32" s="282" t="str">
        <f>IF(T32=0,"",VLOOKUP(T32,Schiri_25!$A$2:$E$121,2)&amp;" "&amp;VLOOKUP(T32,Schiri_25!$A$2:E147,5))</f>
        <v>Graf Daniel</v>
      </c>
      <c r="V32" s="823">
        <v>4</v>
      </c>
      <c r="W32" s="838">
        <v>5</v>
      </c>
      <c r="Y32" s="176">
        <v>23</v>
      </c>
      <c r="Z32" s="1" t="s">
        <v>633</v>
      </c>
      <c r="AA32" s="183" t="s">
        <v>657</v>
      </c>
    </row>
    <row r="33" spans="1:38" ht="15" customHeight="1">
      <c r="A33" s="330"/>
      <c r="B33" s="716">
        <v>6</v>
      </c>
      <c r="C33" s="413">
        <v>6</v>
      </c>
      <c r="D33" s="472">
        <v>45768</v>
      </c>
      <c r="E33" s="832">
        <v>45780</v>
      </c>
      <c r="F33" s="413">
        <v>41</v>
      </c>
      <c r="G33" s="413">
        <v>50</v>
      </c>
      <c r="H33" s="1064" t="str">
        <f t="shared" si="4"/>
        <v>FBV Ettenhausen ( 2. Liga S )</v>
      </c>
      <c r="I33" s="1065"/>
      <c r="J33" s="356"/>
      <c r="K33" s="516" t="str">
        <f t="shared" si="5"/>
        <v xml:space="preserve">TSV Jona 2  ( 1. Liga O )  </v>
      </c>
      <c r="L33" s="825">
        <v>5</v>
      </c>
      <c r="M33" s="388"/>
      <c r="N33" s="388">
        <v>2</v>
      </c>
      <c r="O33" s="474">
        <v>45792</v>
      </c>
      <c r="P33" s="475">
        <v>0.83333333333333337</v>
      </c>
      <c r="Q33" s="488" t="s">
        <v>347</v>
      </c>
      <c r="R33" s="488" t="s">
        <v>1303</v>
      </c>
      <c r="S33" s="476">
        <v>2</v>
      </c>
      <c r="T33" s="489">
        <v>79</v>
      </c>
      <c r="U33" s="282" t="str">
        <f>IF(T33=0,"",VLOOKUP(T33,Schiri_25!$A$2:$E$121,2)&amp;" "&amp;VLOOKUP(T33,Schiri_25!$A$2:E148,5))</f>
        <v>Ziereisen Daniel</v>
      </c>
      <c r="V33" s="823">
        <v>6</v>
      </c>
      <c r="W33" s="838">
        <v>6</v>
      </c>
      <c r="X33" s="183" t="s">
        <v>1321</v>
      </c>
      <c r="Y33" s="176">
        <v>24</v>
      </c>
      <c r="Z33" s="1" t="s">
        <v>634</v>
      </c>
    </row>
    <row r="34" spans="1:38" ht="15" customHeight="1">
      <c r="B34" s="716">
        <v>7</v>
      </c>
      <c r="C34" s="413">
        <v>7</v>
      </c>
      <c r="D34" s="472">
        <v>45768</v>
      </c>
      <c r="E34" s="832">
        <v>45791</v>
      </c>
      <c r="F34" s="413">
        <v>46</v>
      </c>
      <c r="G34" s="413">
        <v>64</v>
      </c>
      <c r="H34" s="1062" t="str">
        <f t="shared" si="4"/>
        <v>SUS Widnau   ( 2. Liga F )</v>
      </c>
      <c r="I34" s="1063"/>
      <c r="J34" s="356"/>
      <c r="K34" s="837" t="str">
        <f t="shared" si="5"/>
        <v>STV Affeltrangen  ( NLA )</v>
      </c>
      <c r="L34" s="388">
        <v>4</v>
      </c>
      <c r="M34" s="388"/>
      <c r="N34" s="825">
        <v>5</v>
      </c>
      <c r="O34" s="474">
        <v>45811</v>
      </c>
      <c r="P34" s="475">
        <v>0.83333333333333337</v>
      </c>
      <c r="Q34" s="488" t="s">
        <v>292</v>
      </c>
      <c r="R34" s="488" t="s">
        <v>1312</v>
      </c>
      <c r="S34" s="476">
        <v>3</v>
      </c>
      <c r="T34" s="489">
        <v>11</v>
      </c>
      <c r="U34" s="282" t="str">
        <f>IF(T34=0,"",VLOOKUP(T34,Schiri_25!$A$2:$E$121,2)&amp;" "&amp;VLOOKUP(T34,Schiri_25!$A$2:E149,5))</f>
        <v>Meyerhans Richard</v>
      </c>
      <c r="V34" s="823">
        <v>13</v>
      </c>
      <c r="W34" s="838">
        <v>7</v>
      </c>
      <c r="Y34" s="176">
        <v>25</v>
      </c>
      <c r="Z34" s="1" t="s">
        <v>635</v>
      </c>
    </row>
    <row r="35" spans="1:38" ht="15" customHeight="1">
      <c r="B35" s="716">
        <v>8</v>
      </c>
      <c r="C35" s="413">
        <v>8</v>
      </c>
      <c r="D35" s="472">
        <v>45771</v>
      </c>
      <c r="E35" s="832">
        <v>45774</v>
      </c>
      <c r="F35" s="413">
        <v>38</v>
      </c>
      <c r="G35" s="413">
        <v>70</v>
      </c>
      <c r="H35" s="1062" t="str">
        <f t="shared" si="4"/>
        <v>TSV Waldkirch ( 3. Liga F )</v>
      </c>
      <c r="I35" s="1063"/>
      <c r="J35" s="356"/>
      <c r="K35" s="837" t="str">
        <f>IF($G35=0,"",VLOOKUP($G35,$Y$17:$Z$94,2,0))</f>
        <v>SUS Widnau   ( NLA )</v>
      </c>
      <c r="L35" s="388">
        <v>1</v>
      </c>
      <c r="M35" s="388"/>
      <c r="N35" s="825">
        <v>5</v>
      </c>
      <c r="O35" s="474">
        <v>45805</v>
      </c>
      <c r="P35" s="475">
        <v>0.8125</v>
      </c>
      <c r="Q35" s="488" t="s">
        <v>1295</v>
      </c>
      <c r="R35" s="488" t="s">
        <v>1296</v>
      </c>
      <c r="S35" s="476">
        <v>3</v>
      </c>
      <c r="T35" s="489">
        <v>9</v>
      </c>
      <c r="U35" s="282" t="str">
        <f>IF(T35=0,"",VLOOKUP(T35,Schiri_25!$A$2:$E$121,2)&amp;" "&amp;VLOOKUP(T35,Schiri_25!$A$2:E150,5))</f>
        <v>Mähr Reto</v>
      </c>
      <c r="V35" s="823">
        <v>17</v>
      </c>
      <c r="W35" s="838">
        <v>8</v>
      </c>
      <c r="Y35" s="176">
        <v>26</v>
      </c>
      <c r="Z35" s="1" t="s">
        <v>636</v>
      </c>
    </row>
    <row r="36" spans="1:38" ht="15" customHeight="1">
      <c r="B36" s="716">
        <v>9</v>
      </c>
      <c r="C36" s="413">
        <v>9</v>
      </c>
      <c r="D36" s="472">
        <v>45756</v>
      </c>
      <c r="E36" s="832">
        <v>45768</v>
      </c>
      <c r="F36" s="413">
        <v>51</v>
      </c>
      <c r="G36" s="413">
        <v>68</v>
      </c>
      <c r="H36" s="1062" t="str">
        <f t="shared" ref="H36:H43" si="6">IF($F36=0,"",VLOOKUP($F36,$Y$17:$Z$94,2,0))</f>
        <v>STV Spreitenbach 1 ( 1. Liga W )</v>
      </c>
      <c r="I36" s="1063"/>
      <c r="J36" s="356"/>
      <c r="K36" s="837" t="str">
        <f t="shared" si="5"/>
        <v>STV Oberentfelden   ( NLA )</v>
      </c>
      <c r="L36" s="388">
        <v>0</v>
      </c>
      <c r="M36" s="388"/>
      <c r="N36" s="825">
        <v>5</v>
      </c>
      <c r="O36" s="474">
        <v>45791</v>
      </c>
      <c r="P36" s="475">
        <v>0.8125</v>
      </c>
      <c r="Q36" s="488" t="s">
        <v>907</v>
      </c>
      <c r="R36" s="488" t="s">
        <v>1319</v>
      </c>
      <c r="S36" s="476">
        <v>3</v>
      </c>
      <c r="T36" s="489">
        <v>25</v>
      </c>
      <c r="U36" s="282" t="str">
        <f>IF(T36=0,"",VLOOKUP(T36,Schiri_25!$A$2:$E$121,2)&amp;" "&amp;VLOOKUP(T36,Schiri_25!$A$2:E151,5))</f>
        <v>Häner Rolf</v>
      </c>
      <c r="V36" s="823">
        <v>17</v>
      </c>
      <c r="W36" s="838">
        <v>9</v>
      </c>
      <c r="X36" s="183" t="s">
        <v>1321</v>
      </c>
      <c r="Y36" s="176">
        <v>27</v>
      </c>
      <c r="Z36" s="1" t="s">
        <v>637</v>
      </c>
    </row>
    <row r="37" spans="1:38" ht="15" customHeight="1">
      <c r="B37" s="716">
        <v>10</v>
      </c>
      <c r="C37" s="413">
        <v>10</v>
      </c>
      <c r="D37" s="472">
        <v>45776</v>
      </c>
      <c r="E37" s="832">
        <v>45776</v>
      </c>
      <c r="F37" s="413">
        <v>49</v>
      </c>
      <c r="G37" s="413">
        <v>63</v>
      </c>
      <c r="H37" s="1062" t="str">
        <f t="shared" si="6"/>
        <v>FB Burgdorf (1. Liga  W)</v>
      </c>
      <c r="I37" s="1063"/>
      <c r="J37" s="356"/>
      <c r="K37" s="837" t="str">
        <f t="shared" si="5"/>
        <v>STV Vordemwald 1 ( NLB W )</v>
      </c>
      <c r="L37" s="388">
        <v>0</v>
      </c>
      <c r="M37" s="388"/>
      <c r="N37" s="825">
        <v>5</v>
      </c>
      <c r="O37" s="474">
        <v>13</v>
      </c>
      <c r="P37" s="475">
        <v>0.83333333333333337</v>
      </c>
      <c r="Q37" s="488" t="s">
        <v>255</v>
      </c>
      <c r="R37" s="488" t="s">
        <v>1300</v>
      </c>
      <c r="S37" s="476">
        <v>2</v>
      </c>
      <c r="T37" s="489">
        <v>83</v>
      </c>
      <c r="U37" s="282" t="str">
        <f>IF(T37=0,"",VLOOKUP(T37,Schiri_25!$A$2:$E$121,2)&amp;" "&amp;VLOOKUP(T37,Schiri_25!$A$2:E152,5))</f>
        <v>Baumberger Evi</v>
      </c>
      <c r="V37" s="823">
        <v>16</v>
      </c>
      <c r="W37" s="1">
        <v>10</v>
      </c>
      <c r="Y37" s="176">
        <v>28</v>
      </c>
      <c r="Z37" s="1" t="s">
        <v>638</v>
      </c>
    </row>
    <row r="38" spans="1:38" ht="15" customHeight="1">
      <c r="B38" s="716">
        <v>11</v>
      </c>
      <c r="C38" s="413">
        <v>11</v>
      </c>
      <c r="D38" s="472">
        <v>45768</v>
      </c>
      <c r="E38" s="832">
        <v>45780</v>
      </c>
      <c r="F38" s="413">
        <v>60</v>
      </c>
      <c r="G38" s="413">
        <v>62</v>
      </c>
      <c r="H38" s="1064" t="str">
        <f t="shared" si="6"/>
        <v>STV Schlieren ( NLB O )</v>
      </c>
      <c r="I38" s="1065"/>
      <c r="J38" s="356"/>
      <c r="K38" s="516" t="str">
        <f t="shared" si="5"/>
        <v>FB Schwellbrunn ( NLB  O)</v>
      </c>
      <c r="L38" s="825">
        <v>5</v>
      </c>
      <c r="M38" s="388"/>
      <c r="N38" s="388">
        <v>1</v>
      </c>
      <c r="O38" s="474">
        <v>45798</v>
      </c>
      <c r="P38" s="475">
        <v>0.79166666666666663</v>
      </c>
      <c r="Q38" s="488" t="s">
        <v>1304</v>
      </c>
      <c r="R38" s="488" t="s">
        <v>1305</v>
      </c>
      <c r="S38" s="476">
        <v>0</v>
      </c>
      <c r="T38" s="489">
        <v>51</v>
      </c>
      <c r="U38" s="282" t="str">
        <f>IF(T38=0,"",VLOOKUP(T38,Schiri_25!$A$2:$E$121,2)&amp;" "&amp;VLOOKUP(T38,Schiri_25!$A$2:E153,5))</f>
        <v>Burkhalter Patrick</v>
      </c>
      <c r="V38" s="823">
        <v>4</v>
      </c>
      <c r="W38" s="838">
        <v>11</v>
      </c>
    </row>
    <row r="39" spans="1:38" ht="15" customHeight="1">
      <c r="A39" s="330"/>
      <c r="B39" s="716">
        <v>12</v>
      </c>
      <c r="C39" s="413">
        <v>12</v>
      </c>
      <c r="D39" s="472">
        <v>45768</v>
      </c>
      <c r="E39" s="832">
        <v>45803</v>
      </c>
      <c r="F39" s="413">
        <v>44</v>
      </c>
      <c r="G39" s="413">
        <v>57</v>
      </c>
      <c r="H39" s="1064" t="str">
        <f t="shared" si="6"/>
        <v>STV Oberentfelden   ( 2. Liga )</v>
      </c>
      <c r="I39" s="1065"/>
      <c r="J39" s="356"/>
      <c r="K39" s="516" t="str">
        <f t="shared" si="5"/>
        <v>STV Kirchberg  ( NLB W )</v>
      </c>
      <c r="L39" s="825">
        <v>5</v>
      </c>
      <c r="M39" s="388"/>
      <c r="N39" s="388">
        <v>0</v>
      </c>
      <c r="O39" s="474">
        <v>45805</v>
      </c>
      <c r="P39" s="475">
        <v>0.8125</v>
      </c>
      <c r="Q39" s="488" t="s">
        <v>1322</v>
      </c>
      <c r="R39" s="488" t="s">
        <v>1323</v>
      </c>
      <c r="S39" s="476">
        <v>3</v>
      </c>
      <c r="T39" s="489">
        <v>61</v>
      </c>
      <c r="U39" s="282" t="str">
        <f>IF(T39=0,"",VLOOKUP(T39,Schiri_25!$A$2:$E$121,2)&amp;" "&amp;VLOOKUP(T39,Schiri_25!$A$2:E154,5))</f>
        <v>Krautter Heinz</v>
      </c>
      <c r="V39" s="823">
        <v>17</v>
      </c>
      <c r="W39" s="838">
        <v>12</v>
      </c>
      <c r="Y39" s="176">
        <v>29</v>
      </c>
      <c r="Z39" s="37" t="s">
        <v>645</v>
      </c>
    </row>
    <row r="40" spans="1:38" ht="15" customHeight="1">
      <c r="B40" s="716">
        <v>13</v>
      </c>
      <c r="C40" s="413">
        <v>13</v>
      </c>
      <c r="D40" s="472">
        <v>45813</v>
      </c>
      <c r="E40" s="832">
        <v>45805</v>
      </c>
      <c r="F40" s="413">
        <v>48</v>
      </c>
      <c r="G40" s="413">
        <v>61</v>
      </c>
      <c r="H40" s="1064" t="str">
        <f t="shared" si="6"/>
        <v>STV Alpnach  ( 1. Liga ) W</v>
      </c>
      <c r="I40" s="1065"/>
      <c r="J40" s="356"/>
      <c r="K40" s="516" t="str">
        <f t="shared" si="5"/>
        <v>STV Schlossrued ( NLB W )</v>
      </c>
      <c r="L40" s="825">
        <v>5</v>
      </c>
      <c r="M40" s="388"/>
      <c r="N40" s="388">
        <v>2</v>
      </c>
      <c r="O40" s="474">
        <v>45813</v>
      </c>
      <c r="P40" s="475">
        <v>0.8125</v>
      </c>
      <c r="Q40" s="488" t="s">
        <v>1334</v>
      </c>
      <c r="R40" s="488" t="s">
        <v>1333</v>
      </c>
      <c r="S40" s="476">
        <v>2</v>
      </c>
      <c r="T40" s="489">
        <v>73</v>
      </c>
      <c r="U40" s="282" t="str">
        <f>IF(T40=0,"",VLOOKUP(T40,Schiri_25!$A$2:$E$121,2)&amp;" "&amp;VLOOKUP(T40,Schiri_25!$A$2:E155,5))</f>
        <v>Shabanaj Valon</v>
      </c>
      <c r="V40" s="823">
        <v>30</v>
      </c>
      <c r="W40" s="1">
        <v>13</v>
      </c>
      <c r="Y40" s="176">
        <v>30</v>
      </c>
      <c r="Z40" s="37" t="s">
        <v>645</v>
      </c>
    </row>
    <row r="41" spans="1:38" ht="15" customHeight="1">
      <c r="B41" s="716">
        <v>14</v>
      </c>
      <c r="C41" s="413">
        <v>14</v>
      </c>
      <c r="D41" s="472">
        <v>45768</v>
      </c>
      <c r="E41" s="832">
        <v>45788</v>
      </c>
      <c r="F41" s="413">
        <v>39</v>
      </c>
      <c r="G41" s="413">
        <v>69</v>
      </c>
      <c r="H41" s="1062" t="str">
        <f>IF($F41=0,"",VLOOKUP($F41,$Y$17:$Z$94,2,0))</f>
        <v>MR Beringen ( 2. Liga )</v>
      </c>
      <c r="I41" s="1063"/>
      <c r="J41" s="356"/>
      <c r="K41" s="837" t="str">
        <f>IF($G41=0,"",VLOOKUP($G41,$Y$17:$Z$94,2,0))</f>
        <v>FG Rickenbach-Wilen ( NLA )</v>
      </c>
      <c r="L41" s="388">
        <v>0</v>
      </c>
      <c r="M41" s="388"/>
      <c r="N41" s="825">
        <v>5</v>
      </c>
      <c r="O41" s="474">
        <v>45792</v>
      </c>
      <c r="P41" s="475">
        <v>0.79166666666666663</v>
      </c>
      <c r="Q41" s="488" t="s">
        <v>17</v>
      </c>
      <c r="R41" s="488" t="s">
        <v>1309</v>
      </c>
      <c r="S41" s="476">
        <v>3</v>
      </c>
      <c r="T41" s="489">
        <v>5</v>
      </c>
      <c r="U41" s="282" t="str">
        <f>IF(T41=0,"",VLOOKUP(T41,Schiri_25!$A$2:$E$121,2)&amp;" "&amp;VLOOKUP(T41,Schiri_25!$A$2:E156,5))</f>
        <v>Chollet Cornelia</v>
      </c>
      <c r="V41" s="823">
        <v>26</v>
      </c>
      <c r="W41" s="838">
        <v>14</v>
      </c>
      <c r="X41" s="183" t="s">
        <v>1321</v>
      </c>
      <c r="Y41" s="176">
        <v>31</v>
      </c>
      <c r="Z41" s="37" t="s">
        <v>645</v>
      </c>
    </row>
    <row r="42" spans="1:38" ht="15" customHeight="1">
      <c r="B42" s="716">
        <v>15</v>
      </c>
      <c r="C42" s="413">
        <v>15</v>
      </c>
      <c r="D42" s="472">
        <v>45778</v>
      </c>
      <c r="E42" s="832">
        <v>45790</v>
      </c>
      <c r="F42" s="413">
        <v>40</v>
      </c>
      <c r="G42" s="413">
        <v>47</v>
      </c>
      <c r="H42" s="1062" t="str">
        <f t="shared" si="6"/>
        <v>STV Elgg ( 2. Liga )</v>
      </c>
      <c r="I42" s="1063"/>
      <c r="J42" s="356"/>
      <c r="K42" s="837" t="str">
        <f t="shared" si="5"/>
        <v xml:space="preserve">TV Widnau ( 2. Liga F ) </v>
      </c>
      <c r="L42" s="388">
        <v>2</v>
      </c>
      <c r="M42" s="388"/>
      <c r="N42" s="825">
        <v>5</v>
      </c>
      <c r="O42" s="474">
        <v>45813</v>
      </c>
      <c r="P42" s="475">
        <v>0.8125</v>
      </c>
      <c r="Q42" s="488" t="s">
        <v>874</v>
      </c>
      <c r="R42" s="488" t="s">
        <v>1311</v>
      </c>
      <c r="S42" s="476">
        <v>0</v>
      </c>
      <c r="T42" s="489">
        <v>34</v>
      </c>
      <c r="U42" s="282" t="str">
        <f>IF(T42=0,"",VLOOKUP(T42,Schiri_25!$A$2:$E$121,2)&amp;" "&amp;VLOOKUP(T42,Schiri_25!$A$2:E157,5))</f>
        <v>Meili René</v>
      </c>
      <c r="V42" s="823">
        <v>12</v>
      </c>
      <c r="W42" s="1">
        <v>15</v>
      </c>
      <c r="Y42" s="176">
        <v>32</v>
      </c>
      <c r="Z42" s="37" t="s">
        <v>645</v>
      </c>
    </row>
    <row r="43" spans="1:38" ht="15" customHeight="1">
      <c r="B43" s="716">
        <v>16</v>
      </c>
      <c r="C43" s="413">
        <v>16</v>
      </c>
      <c r="D43" s="472">
        <v>45776</v>
      </c>
      <c r="E43" s="832">
        <v>45780</v>
      </c>
      <c r="F43" s="413">
        <v>52</v>
      </c>
      <c r="G43" s="413">
        <v>66</v>
      </c>
      <c r="H43" s="1062" t="str">
        <f t="shared" si="6"/>
        <v>STV Vordemwald 2  ( 1. Liga W)</v>
      </c>
      <c r="I43" s="1063"/>
      <c r="J43" s="356"/>
      <c r="K43" s="837" t="str">
        <f t="shared" si="5"/>
        <v>FG Elgg-Ettenhausen 1 ( NLA )</v>
      </c>
      <c r="L43" s="388">
        <v>1</v>
      </c>
      <c r="M43" s="388"/>
      <c r="N43" s="825">
        <v>5</v>
      </c>
      <c r="O43" s="474">
        <v>45791</v>
      </c>
      <c r="P43" s="475">
        <v>0.8125</v>
      </c>
      <c r="Q43" s="488" t="s">
        <v>466</v>
      </c>
      <c r="R43" s="488" t="s">
        <v>1301</v>
      </c>
      <c r="S43" s="476">
        <v>3</v>
      </c>
      <c r="T43" s="489">
        <v>44</v>
      </c>
      <c r="U43" s="282" t="str">
        <f>IF(T43=0,"",VLOOKUP(T43,Schiri_25!$A$2:$E$121,2)&amp;" "&amp;VLOOKUP(T43,Schiri_25!$A$2:E158,5))</f>
        <v>Wagner Stephan</v>
      </c>
      <c r="V43" s="823">
        <v>18</v>
      </c>
      <c r="W43" s="838">
        <v>16</v>
      </c>
      <c r="X43" s="183" t="s">
        <v>1321</v>
      </c>
      <c r="Y43" s="176">
        <v>33</v>
      </c>
      <c r="Z43" s="37" t="s">
        <v>645</v>
      </c>
    </row>
    <row r="44" spans="1:38" ht="15" customHeight="1" thickBot="1">
      <c r="B44" s="382"/>
      <c r="C44" s="262"/>
      <c r="D44" s="286"/>
      <c r="E44" s="286"/>
      <c r="F44" s="276"/>
      <c r="G44" s="276"/>
      <c r="H44" s="1060" t="str">
        <f>IF($F44=0,"",VLOOKUP($F44,'Adressen Daten 25'!$A$3:$P$56,9,0)&amp;" "&amp;VLOOKUP($F44,'Adressen Daten 25'!$A$3:$P$56,10,0))</f>
        <v/>
      </c>
      <c r="I44" s="1061"/>
      <c r="J44" s="746"/>
      <c r="K44" s="270"/>
      <c r="L44" s="260"/>
      <c r="M44" s="260"/>
      <c r="N44" s="260"/>
      <c r="O44" s="271"/>
      <c r="P44" s="262"/>
      <c r="Q44" s="260"/>
      <c r="R44" s="260"/>
      <c r="S44" s="289"/>
      <c r="T44" s="275"/>
      <c r="U44" s="283" t="str">
        <f>IF(T44=0,"",VLOOKUP(T44,Schiri_25!$A$2:$L$129,2,0)&amp;"  "&amp;VLOOKUP(T44,Schiri_25!$A$2:$L$129,3,0))</f>
        <v/>
      </c>
      <c r="V44" s="512">
        <f>SUM(V28:V43)</f>
        <v>217</v>
      </c>
    </row>
    <row r="45" spans="1:38" ht="15" customHeight="1">
      <c r="I45" s="170"/>
      <c r="J45" s="170"/>
      <c r="AA45" s="152"/>
      <c r="AB45" s="152"/>
      <c r="AC45" s="152"/>
    </row>
    <row r="46" spans="1:38" ht="15" customHeight="1" thickBot="1">
      <c r="AJ46" s="318"/>
      <c r="AK46" s="318"/>
      <c r="AL46" s="318"/>
    </row>
    <row r="47" spans="1:38" ht="15" customHeight="1" thickBot="1">
      <c r="B47" s="378"/>
      <c r="C47" s="1067">
        <v>18.059999999999999</v>
      </c>
      <c r="D47" s="1068"/>
      <c r="E47" s="1068"/>
      <c r="F47" s="1069"/>
      <c r="G47" s="294"/>
      <c r="H47" s="1070">
        <f>VLOOKUP($C$48,$Y$8:$AC$14,2,0)</f>
        <v>45831</v>
      </c>
      <c r="I47" s="1071"/>
      <c r="J47" s="355"/>
      <c r="K47" s="317">
        <f>VLOOKUP($C$48,$Y$8:$AC$14,3,0)</f>
        <v>45856</v>
      </c>
      <c r="L47" s="295"/>
      <c r="M47" s="295"/>
      <c r="N47" s="295"/>
      <c r="O47" s="295"/>
      <c r="P47" s="295"/>
      <c r="Q47" s="295"/>
      <c r="R47" s="295"/>
      <c r="S47" s="295"/>
      <c r="T47" s="296"/>
      <c r="U47" s="295"/>
      <c r="V47" s="482"/>
      <c r="Y47" s="469"/>
      <c r="Z47" s="387"/>
      <c r="AA47" s="1090" t="s">
        <v>656</v>
      </c>
      <c r="AB47" s="1091"/>
    </row>
    <row r="48" spans="1:38" ht="15" customHeight="1">
      <c r="B48" s="379"/>
      <c r="C48" s="195">
        <v>3</v>
      </c>
      <c r="D48" s="269"/>
      <c r="E48" s="269"/>
      <c r="F48" s="268"/>
      <c r="G48" s="268"/>
      <c r="H48" s="268"/>
      <c r="I48" s="269"/>
      <c r="J48" s="269"/>
      <c r="K48" s="297"/>
      <c r="L48" s="269"/>
      <c r="M48" s="269"/>
      <c r="N48" s="269"/>
      <c r="O48" s="269"/>
      <c r="P48" s="269"/>
      <c r="Q48" s="269"/>
      <c r="R48" s="269"/>
      <c r="S48" s="269"/>
      <c r="T48" s="195"/>
      <c r="U48" s="269"/>
      <c r="V48" s="298"/>
      <c r="Y48" s="470"/>
      <c r="AA48" s="1092"/>
      <c r="AB48" s="1093"/>
      <c r="AC48" s="182"/>
    </row>
    <row r="49" spans="2:38" ht="21">
      <c r="B49" s="483"/>
      <c r="C49" s="529" t="s">
        <v>332</v>
      </c>
      <c r="D49" s="530" t="s">
        <v>333</v>
      </c>
      <c r="E49" s="530" t="s">
        <v>818</v>
      </c>
      <c r="F49" s="484"/>
      <c r="G49" s="484"/>
      <c r="H49" s="1072" t="s">
        <v>335</v>
      </c>
      <c r="I49" s="1073"/>
      <c r="J49" s="373"/>
      <c r="K49" s="480" t="s">
        <v>336</v>
      </c>
      <c r="L49" s="1078" t="s">
        <v>337</v>
      </c>
      <c r="M49" s="1078"/>
      <c r="N49" s="1078"/>
      <c r="O49" s="480" t="s">
        <v>338</v>
      </c>
      <c r="P49" s="480" t="s">
        <v>0</v>
      </c>
      <c r="Q49" s="480" t="s">
        <v>6</v>
      </c>
      <c r="R49" s="485" t="s">
        <v>341</v>
      </c>
      <c r="S49" s="299" t="s">
        <v>343</v>
      </c>
      <c r="T49" s="486"/>
      <c r="U49" s="373" t="s">
        <v>339</v>
      </c>
      <c r="V49" s="487" t="s">
        <v>340</v>
      </c>
      <c r="Y49" s="470">
        <v>34</v>
      </c>
      <c r="Z49" s="182" t="s">
        <v>1069</v>
      </c>
      <c r="AA49" s="1092"/>
      <c r="AB49" s="1093"/>
      <c r="AE49" s="1"/>
    </row>
    <row r="50" spans="2:38" ht="15" customHeight="1">
      <c r="B50" s="716">
        <v>17</v>
      </c>
      <c r="C50" s="741">
        <v>17</v>
      </c>
      <c r="D50" s="413">
        <v>20.059999999999999</v>
      </c>
      <c r="E50" s="491">
        <v>45839</v>
      </c>
      <c r="F50" s="473">
        <v>56</v>
      </c>
      <c r="G50" s="473">
        <v>54</v>
      </c>
      <c r="H50" s="1079" t="str">
        <f t="shared" ref="H50:H57" si="7">IF($F50=0,"",VLOOKUP($F50,$Y$17:$Z$94,2,0))</f>
        <v>TSV Jona 1( NLB O )</v>
      </c>
      <c r="I50" s="1080"/>
      <c r="J50" s="356"/>
      <c r="K50" s="516" t="str">
        <f t="shared" ref="K50:K57" si="8">IF($G50=0,"",VLOOKUP($G50,$Y$17:$Z$94,2,0))</f>
        <v>STV Dozwil ( NLB O )</v>
      </c>
      <c r="L50" s="849">
        <v>5</v>
      </c>
      <c r="M50" s="388"/>
      <c r="N50" s="388">
        <v>1</v>
      </c>
      <c r="O50" s="474">
        <v>45841</v>
      </c>
      <c r="P50" s="475">
        <v>0.79166666666666663</v>
      </c>
      <c r="Q50" s="488" t="s">
        <v>20</v>
      </c>
      <c r="R50" s="488" t="s">
        <v>1357</v>
      </c>
      <c r="S50" s="476">
        <v>0</v>
      </c>
      <c r="T50" s="489">
        <v>67</v>
      </c>
      <c r="U50" s="478" t="str">
        <f>IF(T50=0,"",VLOOKUP(T50,Schiri_25!$A$2:$L$129,2,0)&amp;"  "&amp;VLOOKUP(T50,Schiri_25!$A$2:$L$129,3,0))</f>
        <v>Meierhofer  Robert</v>
      </c>
      <c r="V50" s="823">
        <v>5</v>
      </c>
      <c r="W50" s="30">
        <v>17</v>
      </c>
      <c r="Y50" s="470">
        <v>35</v>
      </c>
      <c r="Z50" s="182" t="s">
        <v>1068</v>
      </c>
      <c r="AA50" s="1092"/>
      <c r="AB50" s="1093"/>
      <c r="AC50" s="335"/>
      <c r="AD50" s="324"/>
      <c r="AE50" s="386"/>
      <c r="AF50" s="265"/>
      <c r="AI50" s="265"/>
    </row>
    <row r="51" spans="2:38" ht="15" customHeight="1">
      <c r="B51" s="716">
        <v>18</v>
      </c>
      <c r="C51" s="741">
        <v>18</v>
      </c>
      <c r="D51" s="413"/>
      <c r="E51" s="491"/>
      <c r="F51" s="473">
        <v>59</v>
      </c>
      <c r="G51" s="473">
        <v>65</v>
      </c>
      <c r="H51" s="1062" t="str">
        <f t="shared" si="7"/>
        <v>STV Rickenbach-Wilen 2 ( NLB )</v>
      </c>
      <c r="I51" s="1063"/>
      <c r="J51" s="517"/>
      <c r="K51" s="845" t="str">
        <f t="shared" si="8"/>
        <v>SVD Diepoldsau-Schmitter (NLA)</v>
      </c>
      <c r="L51" s="388">
        <v>2</v>
      </c>
      <c r="M51" s="388"/>
      <c r="N51" s="846">
        <v>5</v>
      </c>
      <c r="O51" s="474">
        <v>45834</v>
      </c>
      <c r="P51" s="475">
        <v>0.79166666666666663</v>
      </c>
      <c r="Q51" s="443" t="s">
        <v>294</v>
      </c>
      <c r="R51" s="748" t="s">
        <v>1354</v>
      </c>
      <c r="S51" s="476">
        <v>2</v>
      </c>
      <c r="T51" s="489">
        <v>15</v>
      </c>
      <c r="U51" s="478" t="str">
        <f>IF(T51=0,"",VLOOKUP(T51,Schiri_25!$A$2:$L$129,2,0)&amp;"  "&amp;VLOOKUP(T51,Schiri_25!$A$2:$L$129,3,0))</f>
        <v>Sprenger  Fredy</v>
      </c>
      <c r="V51" s="823">
        <v>0</v>
      </c>
      <c r="W51" s="30">
        <v>18</v>
      </c>
      <c r="Y51" s="470">
        <v>36</v>
      </c>
      <c r="Z51" s="182" t="s">
        <v>1067</v>
      </c>
      <c r="AA51" s="1092"/>
      <c r="AB51" s="1093"/>
      <c r="AC51" s="157"/>
      <c r="AD51" s="324"/>
      <c r="AE51" s="386"/>
      <c r="AF51" s="265"/>
      <c r="AI51" s="265"/>
    </row>
    <row r="52" spans="2:38" ht="15" customHeight="1" thickBot="1">
      <c r="B52" s="716">
        <v>19</v>
      </c>
      <c r="C52" s="741">
        <v>19</v>
      </c>
      <c r="D52" s="413">
        <v>1.06</v>
      </c>
      <c r="E52" s="840">
        <v>45809</v>
      </c>
      <c r="F52" s="473">
        <v>41</v>
      </c>
      <c r="G52" s="473">
        <v>67</v>
      </c>
      <c r="H52" s="1079" t="str">
        <f t="shared" si="7"/>
        <v>FBV Ettenhausen ( 2. Liga S )</v>
      </c>
      <c r="I52" s="1080"/>
      <c r="J52" s="517"/>
      <c r="K52" s="516" t="str">
        <f t="shared" si="8"/>
        <v>FG Fricktal ( NLA  )</v>
      </c>
      <c r="L52" s="846">
        <v>5</v>
      </c>
      <c r="M52" s="388"/>
      <c r="N52" s="388">
        <v>4</v>
      </c>
      <c r="O52" s="474">
        <v>45832</v>
      </c>
      <c r="P52" s="475">
        <v>0.8125</v>
      </c>
      <c r="Q52" s="443" t="s">
        <v>347</v>
      </c>
      <c r="R52" s="443" t="s">
        <v>1303</v>
      </c>
      <c r="S52" s="476">
        <v>3</v>
      </c>
      <c r="T52" s="489">
        <v>79</v>
      </c>
      <c r="U52" s="478" t="str">
        <f>IF(T52=0,"",VLOOKUP(T52,Schiri_25!$A$2:$L$129,2,0)&amp;"  "&amp;VLOOKUP(T52,Schiri_25!$A$2:$L$129,3,0))</f>
        <v>Ziereisen  Daniel</v>
      </c>
      <c r="V52" s="823">
        <v>6</v>
      </c>
      <c r="W52" s="30">
        <v>19</v>
      </c>
      <c r="Y52" s="471">
        <v>37</v>
      </c>
      <c r="Z52" s="389" t="s">
        <v>1066</v>
      </c>
      <c r="AA52" s="1094"/>
      <c r="AB52" s="1095"/>
      <c r="AI52" s="265"/>
    </row>
    <row r="53" spans="2:38" ht="15" customHeight="1">
      <c r="B53" s="716">
        <v>20</v>
      </c>
      <c r="C53" s="700">
        <v>20</v>
      </c>
      <c r="D53" s="491"/>
      <c r="E53" s="840">
        <v>45826</v>
      </c>
      <c r="F53" s="473">
        <v>70</v>
      </c>
      <c r="G53" s="473">
        <v>64</v>
      </c>
      <c r="H53" s="1062" t="str">
        <f t="shared" si="7"/>
        <v>SUS Widnau   ( NLA )</v>
      </c>
      <c r="I53" s="1063"/>
      <c r="J53" s="517"/>
      <c r="K53" s="845" t="str">
        <f t="shared" si="8"/>
        <v>STV Affeltrangen  ( NLA )</v>
      </c>
      <c r="L53" s="388">
        <v>3</v>
      </c>
      <c r="M53" s="388"/>
      <c r="N53" s="846">
        <v>5</v>
      </c>
      <c r="O53" s="474">
        <v>45853</v>
      </c>
      <c r="P53" s="475">
        <v>0.83333333333333337</v>
      </c>
      <c r="Q53" s="443" t="s">
        <v>292</v>
      </c>
      <c r="R53" s="443" t="s">
        <v>1312</v>
      </c>
      <c r="S53" s="476">
        <v>0</v>
      </c>
      <c r="T53" s="477">
        <v>13</v>
      </c>
      <c r="U53" s="478" t="str">
        <f>IF(T53=0,"",VLOOKUP(T53,Schiri_25!$A$2:$L$129,2,0)&amp;"  "&amp;VLOOKUP(T53,Schiri_25!$A$2:$L$129,3,0))</f>
        <v>Sieber  Patrick</v>
      </c>
      <c r="V53" s="823">
        <v>3</v>
      </c>
      <c r="W53" s="30">
        <v>20</v>
      </c>
      <c r="AI53" s="30">
        <v>24</v>
      </c>
    </row>
    <row r="54" spans="2:38" ht="15" customHeight="1">
      <c r="B54" s="716">
        <v>21</v>
      </c>
      <c r="C54" s="741">
        <v>21</v>
      </c>
      <c r="D54" s="413">
        <v>5.0599999999999996</v>
      </c>
      <c r="E54" s="840">
        <v>45815</v>
      </c>
      <c r="F54" s="473">
        <v>63</v>
      </c>
      <c r="G54" s="473">
        <v>68</v>
      </c>
      <c r="H54" s="1062" t="str">
        <f t="shared" si="7"/>
        <v>STV Vordemwald 1 ( NLB W )</v>
      </c>
      <c r="I54" s="1063"/>
      <c r="J54" s="517"/>
      <c r="K54" s="845" t="str">
        <f t="shared" si="8"/>
        <v>STV Oberentfelden   ( NLA )</v>
      </c>
      <c r="L54" s="388">
        <v>1</v>
      </c>
      <c r="M54" s="388"/>
      <c r="N54" s="846">
        <v>5</v>
      </c>
      <c r="O54" s="474">
        <v>45819</v>
      </c>
      <c r="P54" s="475">
        <v>0.8125</v>
      </c>
      <c r="Q54" s="443" t="s">
        <v>466</v>
      </c>
      <c r="R54" s="443" t="s">
        <v>1301</v>
      </c>
      <c r="S54" s="476">
        <v>2</v>
      </c>
      <c r="T54" s="477">
        <v>44</v>
      </c>
      <c r="U54" s="478" t="str">
        <f>IF(T54=0,"",VLOOKUP(T54,Schiri_25!$A$2:$L$129,2,0)&amp;"  "&amp;VLOOKUP(T54,Schiri_25!$A$2:$L$129,3,0))</f>
        <v>Wagner  Stephan</v>
      </c>
      <c r="V54" s="823">
        <v>18</v>
      </c>
      <c r="W54" s="30">
        <v>21</v>
      </c>
      <c r="X54" s="183">
        <v>1</v>
      </c>
      <c r="Y54" s="470">
        <v>38</v>
      </c>
      <c r="Z54" s="1" t="str">
        <f>'Adressen Daten 25'!F3&amp;" "&amp;'Adressen Daten 25'!G3</f>
        <v>TSV Waldkirch ( 3. Liga F )</v>
      </c>
      <c r="AA54" s="1" t="str">
        <f>'Adressen Daten 25'!I3</f>
        <v xml:space="preserve">Stefan </v>
      </c>
      <c r="AB54" s="1" t="str">
        <f>'Adressen Daten 25'!J3</f>
        <v>Zielger</v>
      </c>
      <c r="AC54" s="1" t="str">
        <f>IF('Adressen Daten 25'!K3=0," ",'Adressen Daten 25'!K3)</f>
        <v>Birkenstr 6</v>
      </c>
      <c r="AD54" s="1">
        <f>IF('Adressen Daten 25'!L3=0," ",'Adressen Daten 25'!L3)</f>
        <v>9205</v>
      </c>
      <c r="AE54" s="1" t="str">
        <f>IF('Adressen Daten 25'!M3=0," ",'Adressen Daten 25'!M3)</f>
        <v>Waldkirch</v>
      </c>
      <c r="AF54" s="1" t="str">
        <f>IF('Adressen Daten 25'!N3=0," ",'Adressen Daten 25'!N3)</f>
        <v xml:space="preserve"> </v>
      </c>
      <c r="AG54" s="1" t="str">
        <f>'Adressen Daten 25'!O3</f>
        <v>076 824 52 22</v>
      </c>
      <c r="AH54" s="1" t="str">
        <f>'Adressen Daten 25'!P3</f>
        <v>ziege81@icloud.com</v>
      </c>
      <c r="AI54" s="679">
        <v>1</v>
      </c>
      <c r="AJ54" s="677"/>
      <c r="AK54" s="677"/>
    </row>
    <row r="55" spans="2:38" ht="15" customHeight="1">
      <c r="B55" s="716">
        <v>22</v>
      </c>
      <c r="C55" s="741">
        <v>22</v>
      </c>
      <c r="D55" s="413">
        <v>18.059999999999999</v>
      </c>
      <c r="E55" s="840">
        <v>45834</v>
      </c>
      <c r="F55" s="473">
        <v>44</v>
      </c>
      <c r="G55" s="473">
        <v>60</v>
      </c>
      <c r="H55" s="1079" t="str">
        <f t="shared" si="7"/>
        <v>STV Oberentfelden   ( 2. Liga )</v>
      </c>
      <c r="I55" s="1080"/>
      <c r="J55" s="517"/>
      <c r="K55" s="516" t="str">
        <f t="shared" si="8"/>
        <v>STV Schlieren ( NLB O )</v>
      </c>
      <c r="L55" s="846">
        <v>5</v>
      </c>
      <c r="M55" s="388"/>
      <c r="N55" s="388">
        <v>0</v>
      </c>
      <c r="O55" s="474">
        <v>45835</v>
      </c>
      <c r="P55" s="475">
        <v>0.8125</v>
      </c>
      <c r="Q55" s="443" t="s">
        <v>1347</v>
      </c>
      <c r="R55" s="443" t="s">
        <v>1323</v>
      </c>
      <c r="S55" s="476">
        <v>3</v>
      </c>
      <c r="T55" s="477">
        <v>95</v>
      </c>
      <c r="U55" s="478" t="str">
        <f>IF(T55=0,"",VLOOKUP(T55,Schiri_25!$A$2:$L$129,2,0)&amp;"  "&amp;VLOOKUP(T55,Schiri_25!$A$2:$L$129,3,0))</f>
        <v>Hochuli  Luca</v>
      </c>
      <c r="V55" s="823">
        <v>17</v>
      </c>
      <c r="W55" s="30">
        <v>22</v>
      </c>
      <c r="X55" s="183">
        <v>2</v>
      </c>
      <c r="Y55" s="470">
        <v>39</v>
      </c>
      <c r="Z55" s="1" t="str">
        <f>'Adressen Daten 25'!F4&amp;" "&amp;'Adressen Daten 25'!G4</f>
        <v>MR Beringen ( 2. Liga )</v>
      </c>
      <c r="AA55" s="1" t="str">
        <f>'Adressen Daten 25'!I4</f>
        <v>Stefan</v>
      </c>
      <c r="AB55" s="1" t="str">
        <f>'Adressen Daten 25'!J4</f>
        <v>Kunz</v>
      </c>
      <c r="AC55" s="1" t="str">
        <f>IF('Adressen Daten 25'!K4=0," ",'Adressen Daten 25'!K4)</f>
        <v>Mühleweg 15</v>
      </c>
      <c r="AD55" s="1">
        <f>IF('Adressen Daten 25'!L4=0," ",'Adressen Daten 25'!L4)</f>
        <v>8222</v>
      </c>
      <c r="AE55" s="1" t="str">
        <f>IF('Adressen Daten 25'!M4=0," ",'Adressen Daten 25'!M4)</f>
        <v>Beringen</v>
      </c>
      <c r="AF55" s="1" t="str">
        <f>IF('Adressen Daten 25'!N4=0," ",'Adressen Daten 25'!N4)</f>
        <v>052 685 20 53</v>
      </c>
      <c r="AG55" s="1" t="str">
        <f>'Adressen Daten 25'!O4</f>
        <v>052 685 01 01</v>
      </c>
      <c r="AH55" s="1" t="str">
        <f>'Adressen Daten 25'!P4</f>
        <v>faustball@mrberingen.ch</v>
      </c>
      <c r="AI55" s="679">
        <v>2</v>
      </c>
      <c r="AJ55" s="677"/>
      <c r="AK55" s="677"/>
    </row>
    <row r="56" spans="2:38" ht="15" customHeight="1">
      <c r="B56" s="716">
        <v>23</v>
      </c>
      <c r="C56" s="741">
        <v>23</v>
      </c>
      <c r="D56" s="413"/>
      <c r="E56" s="840">
        <v>45830</v>
      </c>
      <c r="F56" s="473">
        <v>48</v>
      </c>
      <c r="G56" s="473">
        <v>69</v>
      </c>
      <c r="H56" s="1062" t="str">
        <f t="shared" si="7"/>
        <v>STV Alpnach  ( 1. Liga ) W</v>
      </c>
      <c r="I56" s="1063"/>
      <c r="J56" s="517"/>
      <c r="K56" s="845" t="str">
        <f t="shared" si="8"/>
        <v>FG Rickenbach-Wilen ( NLA )</v>
      </c>
      <c r="L56" s="388">
        <v>2</v>
      </c>
      <c r="M56" s="388"/>
      <c r="N56" s="846">
        <v>5</v>
      </c>
      <c r="O56" s="474">
        <v>45834</v>
      </c>
      <c r="P56" s="475">
        <v>0.8125</v>
      </c>
      <c r="Q56" s="443" t="s">
        <v>1350</v>
      </c>
      <c r="R56" s="443" t="s">
        <v>1333</v>
      </c>
      <c r="S56" s="476">
        <v>3</v>
      </c>
      <c r="T56" s="477">
        <v>63</v>
      </c>
      <c r="U56" s="478" t="str">
        <f>IF(T56=0,"",VLOOKUP(T56,Schiri_25!$A$2:$L$129,2,0)&amp;"  "&amp;VLOOKUP(T56,Schiri_25!$A$2:$L$129,3,0))</f>
        <v>Leu  Peter</v>
      </c>
      <c r="V56" s="823">
        <v>30</v>
      </c>
      <c r="W56" s="30">
        <v>23</v>
      </c>
      <c r="X56" s="183">
        <v>3</v>
      </c>
      <c r="Y56" s="470">
        <v>40</v>
      </c>
      <c r="Z56" s="1" t="str">
        <f>'Adressen Daten 25'!F5&amp;" "&amp;'Adressen Daten 25'!G5</f>
        <v>STV Elgg ( 2. Liga )</v>
      </c>
      <c r="AA56" s="1" t="str">
        <f>'Adressen Daten 25'!I5</f>
        <v>Oliver</v>
      </c>
      <c r="AB56" s="1" t="str">
        <f>'Adressen Daten 25'!J5</f>
        <v>Lang</v>
      </c>
      <c r="AC56" s="1" t="str">
        <f>IF('Adressen Daten 25'!K5=0," ",'Adressen Daten 25'!K5)</f>
        <v xml:space="preserve"> </v>
      </c>
      <c r="AD56" s="1" t="str">
        <f>IF('Adressen Daten 25'!L5=0," ",'Adressen Daten 25'!L5)</f>
        <v xml:space="preserve"> </v>
      </c>
      <c r="AE56" s="1" t="str">
        <f>IF('Adressen Daten 25'!M5=0," ",'Adressen Daten 25'!M5)</f>
        <v xml:space="preserve"> </v>
      </c>
      <c r="AF56" s="1" t="str">
        <f>IF('Adressen Daten 25'!N5=0," ",'Adressen Daten 25'!N5)</f>
        <v xml:space="preserve"> </v>
      </c>
      <c r="AG56" s="1" t="str">
        <f>'Adressen Daten 25'!O5</f>
        <v>079 672 93 60</v>
      </c>
      <c r="AH56" s="1" t="str">
        <f>'Adressen Daten 25'!P5</f>
        <v>lang@swissfaustball.ch</v>
      </c>
      <c r="AI56" s="679">
        <v>3</v>
      </c>
      <c r="AJ56" s="677"/>
      <c r="AK56" s="677"/>
    </row>
    <row r="57" spans="2:38" ht="15" customHeight="1">
      <c r="B57" s="716">
        <v>24</v>
      </c>
      <c r="C57" s="741">
        <v>24</v>
      </c>
      <c r="D57" s="413"/>
      <c r="E57" s="840">
        <v>45828</v>
      </c>
      <c r="F57" s="473">
        <v>47</v>
      </c>
      <c r="G57" s="473">
        <v>66</v>
      </c>
      <c r="H57" s="1062" t="str">
        <f t="shared" si="7"/>
        <v xml:space="preserve">TV Widnau ( 2. Liga F ) </v>
      </c>
      <c r="I57" s="1063"/>
      <c r="J57" s="517"/>
      <c r="K57" s="845" t="str">
        <f t="shared" si="8"/>
        <v>FG Elgg-Ettenhausen 1 ( NLA )</v>
      </c>
      <c r="L57" s="388">
        <v>4</v>
      </c>
      <c r="M57" s="388"/>
      <c r="N57" s="846">
        <v>5</v>
      </c>
      <c r="O57" s="474">
        <v>45862</v>
      </c>
      <c r="P57" s="475">
        <v>0.77083333333333337</v>
      </c>
      <c r="Q57" s="443" t="s">
        <v>292</v>
      </c>
      <c r="R57" s="443" t="s">
        <v>1348</v>
      </c>
      <c r="S57" s="476">
        <v>3</v>
      </c>
      <c r="T57" s="477">
        <v>11</v>
      </c>
      <c r="U57" s="478" t="str">
        <f>IF(T57=0,"",VLOOKUP(T57,Schiri_25!$A$2:$L$129,2,0)&amp;"  "&amp;VLOOKUP(T57,Schiri_25!$A$2:$L$129,3,0))</f>
        <v>Meyerhans  Richard</v>
      </c>
      <c r="V57" s="823">
        <v>13</v>
      </c>
      <c r="W57" s="30">
        <v>24</v>
      </c>
      <c r="X57" s="183">
        <v>4</v>
      </c>
      <c r="Y57" s="470">
        <v>41</v>
      </c>
      <c r="Z57" s="1" t="str">
        <f>'Adressen Daten 25'!F6&amp;" "&amp;'Adressen Daten 25'!G6</f>
        <v>FBV Ettenhausen ( 2. Liga S )</v>
      </c>
      <c r="AA57" s="1" t="str">
        <f>'Adressen Daten 25'!I6</f>
        <v xml:space="preserve">Simon </v>
      </c>
      <c r="AB57" s="1" t="str">
        <f>'Adressen Daten 25'!J6</f>
        <v>Kunz</v>
      </c>
      <c r="AC57" s="1" t="str">
        <f>IF('Adressen Daten 25'!K6=0," ",'Adressen Daten 25'!K6)</f>
        <v>Matthofstr 43</v>
      </c>
      <c r="AD57" s="1">
        <f>IF('Adressen Daten 25'!L6=0," ",'Adressen Daten 25'!L6)</f>
        <v>8355</v>
      </c>
      <c r="AE57" s="1" t="str">
        <f>IF('Adressen Daten 25'!M6=0," ",'Adressen Daten 25'!M6)</f>
        <v>Aadorf</v>
      </c>
      <c r="AF57" s="1" t="str">
        <f>IF('Adressen Daten 25'!N6=0," ",'Adressen Daten 25'!N6)</f>
        <v xml:space="preserve"> </v>
      </c>
      <c r="AG57" s="1" t="str">
        <f>'Adressen Daten 25'!O6</f>
        <v>079 438 17 59</v>
      </c>
      <c r="AH57" s="1" t="str">
        <f>'Adressen Daten 25'!P6</f>
        <v>simon.kunz@fbv-ettenhausen.ch</v>
      </c>
      <c r="AI57" s="679">
        <v>4</v>
      </c>
      <c r="AJ57" s="677"/>
      <c r="AK57" s="677"/>
    </row>
    <row r="58" spans="2:38" ht="15" customHeight="1" thickBot="1">
      <c r="B58" s="548"/>
      <c r="C58" s="549" t="s">
        <v>1018</v>
      </c>
      <c r="D58" s="531"/>
      <c r="E58" s="544"/>
      <c r="F58" s="532"/>
      <c r="G58" s="532"/>
      <c r="H58" s="1097"/>
      <c r="I58" s="1098"/>
      <c r="J58" s="533"/>
      <c r="K58" s="749"/>
      <c r="L58" s="535"/>
      <c r="M58" s="535"/>
      <c r="N58" s="535"/>
      <c r="O58" s="536"/>
      <c r="P58" s="537"/>
      <c r="Q58" s="538"/>
      <c r="R58" s="538"/>
      <c r="S58" s="539"/>
      <c r="T58" s="540"/>
      <c r="U58" s="541" t="str">
        <f>IF(T58=0,"",VLOOKUP(T58,Schiri_25!$A$2:$L$129,2,0)&amp;"  "&amp;VLOOKUP(T58,Schiri_25!$A$2:$L$129,3,0))</f>
        <v/>
      </c>
      <c r="V58" s="750">
        <f>SUM(V50:V57)</f>
        <v>92</v>
      </c>
      <c r="X58" s="183">
        <v>5</v>
      </c>
      <c r="Y58" s="470">
        <v>42</v>
      </c>
      <c r="Z58" s="1" t="str">
        <f>'Adressen Daten 25'!F7&amp;" "&amp;'Adressen Daten 25'!G7</f>
        <v>STV Felben-W.hausen ( 2. Liga )</v>
      </c>
      <c r="AA58" s="1" t="str">
        <f>'Adressen Daten 25'!I7</f>
        <v>Patrick</v>
      </c>
      <c r="AB58" s="1" t="str">
        <f>'Adressen Daten 25'!J7</f>
        <v>Oderbolz</v>
      </c>
      <c r="AC58" s="1" t="str">
        <f>IF('Adressen Daten 25'!K7=0," ",'Adressen Daten 25'!K7)</f>
        <v xml:space="preserve"> </v>
      </c>
      <c r="AD58" s="1" t="str">
        <f>IF('Adressen Daten 25'!L7=0," ",'Adressen Daten 25'!L7)</f>
        <v xml:space="preserve"> </v>
      </c>
      <c r="AE58" s="1" t="str">
        <f>IF('Adressen Daten 25'!M7=0," ",'Adressen Daten 25'!M7)</f>
        <v xml:space="preserve"> </v>
      </c>
      <c r="AF58" s="1" t="str">
        <f>IF('Adressen Daten 25'!N7=0," ",'Adressen Daten 25'!N7)</f>
        <v xml:space="preserve"> </v>
      </c>
      <c r="AG58" s="1" t="str">
        <f>'Adressen Daten 25'!O7</f>
        <v>079 346 01 18</v>
      </c>
      <c r="AH58" s="1" t="str">
        <f>'Adressen Daten 25'!P7</f>
        <v>patrick@oderbolz.ch</v>
      </c>
      <c r="AI58" s="679">
        <v>5</v>
      </c>
      <c r="AJ58" s="677"/>
      <c r="AK58" s="677"/>
    </row>
    <row r="59" spans="2:38" ht="15" customHeight="1">
      <c r="B59" s="30"/>
      <c r="C59" s="176"/>
      <c r="D59" s="523"/>
      <c r="E59" s="523"/>
      <c r="F59" s="524"/>
      <c r="G59" s="524"/>
      <c r="H59" s="1099"/>
      <c r="I59" s="1099"/>
      <c r="J59" s="157"/>
      <c r="K59" s="216"/>
      <c r="L59" s="172"/>
      <c r="M59" s="172"/>
      <c r="N59" s="172"/>
      <c r="O59" s="525"/>
      <c r="P59" s="526"/>
      <c r="Q59" s="179"/>
      <c r="R59" s="179"/>
      <c r="S59" s="522"/>
      <c r="T59" s="521"/>
      <c r="U59" s="527" t="str">
        <f>IF(T59=0,"",VLOOKUP(T59,Schiri_25!$A$2:$L$129,2,0)&amp;"  "&amp;VLOOKUP(T59,Schiri_25!$A$2:$L$129,3,0))</f>
        <v/>
      </c>
      <c r="V59" s="524"/>
      <c r="X59" s="183">
        <v>6</v>
      </c>
      <c r="Y59" s="470">
        <v>43</v>
      </c>
      <c r="Z59" s="1" t="str">
        <f>'Adressen Daten 25'!F8&amp;" "&amp;'Adressen Daten 25'!G8</f>
        <v>STV Müllheim ( 2. L )</v>
      </c>
      <c r="AA59" s="1" t="str">
        <f>'Adressen Daten 25'!I8</f>
        <v>Raphael</v>
      </c>
      <c r="AB59" s="1" t="str">
        <f>'Adressen Daten 25'!J8</f>
        <v>Gubser</v>
      </c>
      <c r="AC59" s="1" t="str">
        <f>IF('Adressen Daten 25'!K8=0," ",'Adressen Daten 25'!K8)</f>
        <v xml:space="preserve"> </v>
      </c>
      <c r="AD59" s="1" t="str">
        <f>IF('Adressen Daten 25'!L8=0," ",'Adressen Daten 25'!L8)</f>
        <v xml:space="preserve"> </v>
      </c>
      <c r="AE59" s="1" t="str">
        <f>IF('Adressen Daten 25'!M8=0," ",'Adressen Daten 25'!M8)</f>
        <v xml:space="preserve"> </v>
      </c>
      <c r="AF59" s="1" t="str">
        <f>IF('Adressen Daten 25'!N8=0," ",'Adressen Daten 25'!N8)</f>
        <v xml:space="preserve"> </v>
      </c>
      <c r="AG59" s="1" t="str">
        <f>'Adressen Daten 25'!O8</f>
        <v>079 519 86 51</v>
      </c>
      <c r="AH59" s="1" t="str">
        <f>'Adressen Daten 25'!P8</f>
        <v>raffigubser@bluewin.ch</v>
      </c>
      <c r="AI59" s="679">
        <v>6</v>
      </c>
      <c r="AJ59" s="677"/>
      <c r="AK59" s="678"/>
      <c r="AL59" s="73"/>
    </row>
    <row r="60" spans="2:38" ht="15" customHeight="1" thickBot="1">
      <c r="B60" s="30"/>
      <c r="C60" s="176"/>
      <c r="D60" s="528"/>
      <c r="E60" s="523"/>
      <c r="F60" s="524"/>
      <c r="G60" s="524"/>
      <c r="H60" s="1099"/>
      <c r="I60" s="1099"/>
      <c r="J60" s="157"/>
      <c r="K60" s="216"/>
      <c r="L60" s="172"/>
      <c r="M60" s="172"/>
      <c r="N60" s="172"/>
      <c r="O60" s="525"/>
      <c r="P60" s="526"/>
      <c r="Q60" s="179"/>
      <c r="R60" s="179"/>
      <c r="S60" s="522"/>
      <c r="T60" s="521"/>
      <c r="U60" s="527" t="str">
        <f>IF(T60=0,"",VLOOKUP(T60,Schiri_25!$A$2:$L$129,2,0)&amp;"  "&amp;VLOOKUP(T60,Schiri_25!$A$2:$L$129,3,0))</f>
        <v/>
      </c>
      <c r="V60" s="521"/>
      <c r="X60" s="183">
        <v>7</v>
      </c>
      <c r="Y60" s="470">
        <v>44</v>
      </c>
      <c r="Z60" s="1" t="str">
        <f>'Adressen Daten 25'!F9&amp;" "&amp;'Adressen Daten 25'!G9</f>
        <v>STV Oberentfelden   ( 2. Liga )</v>
      </c>
      <c r="AA60" s="1" t="str">
        <f>'Adressen Daten 25'!I9</f>
        <v>Christian</v>
      </c>
      <c r="AB60" s="1" t="str">
        <f>'Adressen Daten 25'!J9</f>
        <v>Suter</v>
      </c>
      <c r="AC60" s="1" t="str">
        <f>IF('Adressen Daten 25'!K9=0," ",'Adressen Daten 25'!K9)</f>
        <v>Aeppenhaldenstr 3b</v>
      </c>
      <c r="AD60" s="1">
        <f>IF('Adressen Daten 25'!L9=0," ",'Adressen Daten 25'!L9)</f>
        <v>4800</v>
      </c>
      <c r="AE60" s="1" t="str">
        <f>IF('Adressen Daten 25'!M9=0," ",'Adressen Daten 25'!M9)</f>
        <v>Zofingen</v>
      </c>
      <c r="AF60" s="1" t="str">
        <f>IF('Adressen Daten 25'!N9=0," ",'Adressen Daten 25'!N9)</f>
        <v xml:space="preserve"> </v>
      </c>
      <c r="AG60" s="1" t="str">
        <f>'Adressen Daten 25'!O9</f>
        <v>079 476 04 32</v>
      </c>
      <c r="AH60" s="1" t="str">
        <f>'Adressen Daten 25'!P9</f>
        <v>christian.suter@faustballcenter.ch</v>
      </c>
      <c r="AI60" s="679">
        <v>7</v>
      </c>
      <c r="AJ60" s="677"/>
      <c r="AK60" s="677"/>
    </row>
    <row r="61" spans="2:38" ht="15" customHeight="1" thickBot="1">
      <c r="B61" s="378"/>
      <c r="C61" s="1067" t="str">
        <f>VLOOKUP($C$62,$Y$8:$AC$14,5,0)</f>
        <v>1/4 Final</v>
      </c>
      <c r="D61" s="1068"/>
      <c r="E61" s="1068"/>
      <c r="F61" s="1069"/>
      <c r="G61" s="294"/>
      <c r="H61" s="1070">
        <f>VLOOKUP($C$62,$Y$8:$AC$14,2,0)</f>
        <v>45866</v>
      </c>
      <c r="I61" s="1071"/>
      <c r="J61" s="355"/>
      <c r="K61" s="317">
        <f>VLOOKUP($C$62,$Y$8:$AC$14,3,0)</f>
        <v>45884</v>
      </c>
      <c r="L61" s="295"/>
      <c r="M61" s="295"/>
      <c r="N61" s="295"/>
      <c r="O61" s="295"/>
      <c r="P61" s="295"/>
      <c r="Q61" s="295"/>
      <c r="R61" s="295"/>
      <c r="S61" s="295"/>
      <c r="T61" s="296"/>
      <c r="U61" s="295"/>
      <c r="V61" s="482"/>
      <c r="X61" s="183">
        <v>8</v>
      </c>
      <c r="Y61" s="470">
        <v>45</v>
      </c>
      <c r="Z61" s="1" t="str">
        <f>'Adressen Daten 25'!F10&amp;" "&amp;'Adressen Daten 25'!G10</f>
        <v>STV Töss ( 2. Liga )</v>
      </c>
      <c r="AA61" s="1" t="str">
        <f>'Adressen Daten 25'!I10</f>
        <v>Benjamin</v>
      </c>
      <c r="AB61" s="1" t="str">
        <f>'Adressen Daten 25'!J10</f>
        <v>Boldo</v>
      </c>
      <c r="AC61" s="1" t="str">
        <f>IF('Adressen Daten 25'!K10=0," ",'Adressen Daten 25'!K10)</f>
        <v>Metzggasse 6</v>
      </c>
      <c r="AD61" s="1">
        <f>IF('Adressen Daten 25'!L10=0," ",'Adressen Daten 25'!L10)</f>
        <v>8400</v>
      </c>
      <c r="AE61" s="1" t="str">
        <f>IF('Adressen Daten 25'!M10=0," ",'Adressen Daten 25'!M10)</f>
        <v>Winterthur</v>
      </c>
      <c r="AF61" s="1" t="str">
        <f>IF('Adressen Daten 25'!N10=0," ",'Adressen Daten 25'!N10)</f>
        <v xml:space="preserve"> </v>
      </c>
      <c r="AG61" s="1" t="str">
        <f>'Adressen Daten 25'!O10</f>
        <v>076 320 86 65</v>
      </c>
      <c r="AH61" s="1" t="str">
        <f>'Adressen Daten 25'!P10</f>
        <v>b.boldo@bluewin.ch</v>
      </c>
      <c r="AI61" s="679">
        <v>8</v>
      </c>
      <c r="AJ61" s="677"/>
      <c r="AK61" s="677"/>
    </row>
    <row r="62" spans="2:38" ht="15" customHeight="1">
      <c r="B62" s="379"/>
      <c r="C62" s="195">
        <v>4</v>
      </c>
      <c r="D62" s="269"/>
      <c r="E62" s="269"/>
      <c r="F62" s="268"/>
      <c r="G62" s="268"/>
      <c r="H62" s="268"/>
      <c r="I62" s="269"/>
      <c r="J62" s="269"/>
      <c r="K62" s="297"/>
      <c r="L62" s="269"/>
      <c r="M62" s="269"/>
      <c r="N62" s="269"/>
      <c r="O62" s="269"/>
      <c r="P62" s="269"/>
      <c r="Q62" s="269"/>
      <c r="R62" s="269"/>
      <c r="S62" s="269"/>
      <c r="T62" s="195"/>
      <c r="U62" s="269"/>
      <c r="V62" s="298"/>
      <c r="W62" s="176"/>
      <c r="X62" s="183">
        <v>9</v>
      </c>
      <c r="Y62" s="470">
        <v>46</v>
      </c>
      <c r="Z62" s="1" t="str">
        <f>'Adressen Daten 25'!F11&amp;" "&amp;'Adressen Daten 25'!G11</f>
        <v>SUS Widnau   ( 2. Liga F )</v>
      </c>
      <c r="AA62" s="1" t="str">
        <f>'Adressen Daten 25'!I11</f>
        <v>Marco</v>
      </c>
      <c r="AB62" s="1" t="str">
        <f>'Adressen Daten 25'!J11</f>
        <v>Nüesch</v>
      </c>
      <c r="AC62" s="1" t="str">
        <f>IF('Adressen Daten 25'!K11=0," ",'Adressen Daten 25'!K11)</f>
        <v xml:space="preserve"> </v>
      </c>
      <c r="AD62" s="1" t="str">
        <f>IF('Adressen Daten 25'!L11=0," ",'Adressen Daten 25'!L11)</f>
        <v xml:space="preserve"> </v>
      </c>
      <c r="AE62" s="1" t="str">
        <f>IF('Adressen Daten 25'!M11=0," ",'Adressen Daten 25'!M11)</f>
        <v xml:space="preserve"> </v>
      </c>
      <c r="AF62" s="1" t="str">
        <f>IF('Adressen Daten 25'!N11=0," ",'Adressen Daten 25'!N11)</f>
        <v xml:space="preserve"> </v>
      </c>
      <c r="AG62" s="1" t="str">
        <f>'Adressen Daten 25'!O11</f>
        <v>079 404 47 21</v>
      </c>
      <c r="AH62" s="1" t="str">
        <f>'Adressen Daten 25'!P11</f>
        <v>marco.nueesch@faustball-widnau.ch</v>
      </c>
      <c r="AI62" s="679">
        <v>9</v>
      </c>
      <c r="AJ62" s="677"/>
      <c r="AK62" s="677"/>
    </row>
    <row r="63" spans="2:38" ht="21">
      <c r="B63" s="483"/>
      <c r="C63" s="529" t="s">
        <v>332</v>
      </c>
      <c r="D63" s="530" t="s">
        <v>333</v>
      </c>
      <c r="E63" s="530" t="s">
        <v>334</v>
      </c>
      <c r="F63" s="484"/>
      <c r="G63" s="484"/>
      <c r="H63" s="1072" t="s">
        <v>335</v>
      </c>
      <c r="I63" s="1073"/>
      <c r="J63" s="373"/>
      <c r="K63" s="480" t="s">
        <v>336</v>
      </c>
      <c r="L63" s="1078" t="s">
        <v>337</v>
      </c>
      <c r="M63" s="1078"/>
      <c r="N63" s="1078"/>
      <c r="O63" s="480" t="s">
        <v>338</v>
      </c>
      <c r="P63" s="480" t="s">
        <v>0</v>
      </c>
      <c r="Q63" s="480" t="s">
        <v>6</v>
      </c>
      <c r="R63" s="485" t="s">
        <v>341</v>
      </c>
      <c r="S63" s="299" t="s">
        <v>343</v>
      </c>
      <c r="T63" s="486"/>
      <c r="U63" s="373" t="s">
        <v>339</v>
      </c>
      <c r="V63" s="487" t="s">
        <v>340</v>
      </c>
      <c r="W63" s="176"/>
      <c r="X63" s="183">
        <v>10</v>
      </c>
      <c r="Y63" s="470">
        <v>47</v>
      </c>
      <c r="Z63" s="1" t="str">
        <f>'Adressen Daten 25'!F12&amp;" "&amp;'Adressen Daten 25'!G12</f>
        <v xml:space="preserve">TV Widnau ( 2. Liga F ) </v>
      </c>
      <c r="AA63" s="1" t="str">
        <f>'Adressen Daten 25'!I12</f>
        <v>Jerome</v>
      </c>
      <c r="AB63" s="1" t="str">
        <f>'Adressen Daten 25'!J12</f>
        <v>Sepin</v>
      </c>
      <c r="AC63" s="1" t="str">
        <f>IF('Adressen Daten 25'!K12=0," ",'Adressen Daten 25'!K12)</f>
        <v xml:space="preserve"> </v>
      </c>
      <c r="AD63" s="1" t="str">
        <f>IF('Adressen Daten 25'!L12=0," ",'Adressen Daten 25'!L12)</f>
        <v xml:space="preserve"> </v>
      </c>
      <c r="AE63" s="1" t="str">
        <f>IF('Adressen Daten 25'!M12=0," ",'Adressen Daten 25'!M12)</f>
        <v xml:space="preserve"> </v>
      </c>
      <c r="AF63" s="1" t="str">
        <f>IF('Adressen Daten 25'!N12=0," ",'Adressen Daten 25'!N12)</f>
        <v xml:space="preserve"> </v>
      </c>
      <c r="AG63" s="1" t="str">
        <f>'Adressen Daten 25'!O12</f>
        <v>079 929 89 85</v>
      </c>
      <c r="AH63" s="1" t="str">
        <f>'Adressen Daten 25'!P12</f>
        <v>jerome.sepin@gmail.com</v>
      </c>
      <c r="AI63" s="679">
        <v>10</v>
      </c>
      <c r="AJ63" s="677"/>
      <c r="AK63" s="677"/>
    </row>
    <row r="64" spans="2:38" ht="15" customHeight="1">
      <c r="B64" s="716">
        <v>25</v>
      </c>
      <c r="C64" s="413">
        <v>9.07</v>
      </c>
      <c r="D64" s="472">
        <v>45812</v>
      </c>
      <c r="E64" s="491"/>
      <c r="F64" s="473">
        <v>56</v>
      </c>
      <c r="G64" s="473">
        <v>65</v>
      </c>
      <c r="H64" s="1062" t="str">
        <f t="shared" ref="H64" si="9">IF($F64=0,"",VLOOKUP($F64,$Y$17:$Z$94,2,0))</f>
        <v>TSV Jona 1( NLB O )</v>
      </c>
      <c r="I64" s="1063"/>
      <c r="J64" s="356"/>
      <c r="K64" s="845" t="str">
        <f t="shared" ref="K64" si="10">IF($G64=0,"",VLOOKUP($G64,$Y$17:$Z$94,2,0))</f>
        <v>SVD Diepoldsau-Schmitter (NLA)</v>
      </c>
      <c r="L64" s="747">
        <v>1</v>
      </c>
      <c r="M64" s="388"/>
      <c r="N64" s="846">
        <v>5</v>
      </c>
      <c r="O64" s="474">
        <v>45852</v>
      </c>
      <c r="P64" s="475">
        <v>0.8125</v>
      </c>
      <c r="Q64" s="488" t="s">
        <v>20</v>
      </c>
      <c r="R64" s="488" t="s">
        <v>1357</v>
      </c>
      <c r="S64" s="476">
        <v>2</v>
      </c>
      <c r="T64" s="489">
        <v>97</v>
      </c>
      <c r="U64" s="852" t="str">
        <f>IF(T64=0,"",VLOOKUP(T64,Schiri_25!$A$2:$L$129,2,0)&amp;"  "&amp;VLOOKUP(T64,Schiri_25!$A$2:$L$129,3,0))</f>
        <v>Kammer  Sebastian</v>
      </c>
      <c r="V64" s="823">
        <v>5</v>
      </c>
      <c r="W64" s="850">
        <v>25</v>
      </c>
      <c r="X64" s="183">
        <v>11</v>
      </c>
      <c r="Y64" s="470">
        <v>48</v>
      </c>
      <c r="Z64" s="1" t="str">
        <f>'Adressen Daten 25'!F13&amp;" "&amp;'Adressen Daten 25'!G13</f>
        <v>STV Alpnach  ( 1. Liga ) W</v>
      </c>
      <c r="AA64" s="1" t="str">
        <f>'Adressen Daten 25'!I13</f>
        <v>Kasper</v>
      </c>
      <c r="AB64" s="1" t="str">
        <f>'Adressen Daten 25'!J13</f>
        <v>Tobias</v>
      </c>
      <c r="AC64" s="1" t="str">
        <f>IF('Adressen Daten 25'!K13=0," ",'Adressen Daten 25'!K13)</f>
        <v>Schneggenhubel 5</v>
      </c>
      <c r="AD64" s="1">
        <f>IF('Adressen Daten 25'!L13=0," ",'Adressen Daten 25'!L13)</f>
        <v>6064</v>
      </c>
      <c r="AE64" s="1" t="str">
        <f>IF('Adressen Daten 25'!M13=0," ",'Adressen Daten 25'!M13)</f>
        <v>Kerns</v>
      </c>
      <c r="AF64" s="1" t="str">
        <f>IF('Adressen Daten 25'!N13=0," ",'Adressen Daten 25'!N13)</f>
        <v xml:space="preserve"> </v>
      </c>
      <c r="AG64" s="1" t="str">
        <f>'Adressen Daten 25'!O13</f>
        <v>079 713 39 48</v>
      </c>
      <c r="AH64" s="1" t="str">
        <f>'Adressen Daten 25'!P13</f>
        <v>m.bucher@hs-team.ch</v>
      </c>
      <c r="AI64" s="679">
        <v>11</v>
      </c>
      <c r="AJ64" s="677"/>
      <c r="AK64" s="677"/>
    </row>
    <row r="65" spans="2:37" ht="15" customHeight="1">
      <c r="B65" s="716">
        <v>26</v>
      </c>
      <c r="C65" s="413">
        <v>26</v>
      </c>
      <c r="D65" s="491">
        <v>45854</v>
      </c>
      <c r="E65" s="491">
        <v>45885</v>
      </c>
      <c r="F65" s="473">
        <v>41</v>
      </c>
      <c r="G65" s="473">
        <v>64</v>
      </c>
      <c r="H65" s="1062" t="str">
        <f>IF($F65=0,"",VLOOKUP($F65,$Y$17:$Z$94,2,0))</f>
        <v>FBV Ettenhausen ( 2. Liga S )</v>
      </c>
      <c r="I65" s="1101"/>
      <c r="J65" s="517"/>
      <c r="K65" s="845" t="str">
        <f>IF($G65=0,"",VLOOKUP($G65,$Y$17:$Z$94,2,0))</f>
        <v>STV Affeltrangen  ( NLA )</v>
      </c>
      <c r="L65" s="388">
        <v>1</v>
      </c>
      <c r="M65" s="388"/>
      <c r="N65" s="846">
        <v>5</v>
      </c>
      <c r="O65" s="474">
        <v>45888</v>
      </c>
      <c r="P65" s="475">
        <v>0.79166666666666663</v>
      </c>
      <c r="Q65" s="443" t="s">
        <v>304</v>
      </c>
      <c r="R65" s="443" t="s">
        <v>1362</v>
      </c>
      <c r="S65" s="476">
        <v>3</v>
      </c>
      <c r="T65" s="489">
        <v>79</v>
      </c>
      <c r="U65" s="852" t="str">
        <f>IF(T65=0,"",VLOOKUP(T65,Schiri_25!$A$2:$L$129,2,0)&amp;"  "&amp;VLOOKUP(T65,Schiri_25!$A$2:$L$129,3,0))</f>
        <v>Ziereisen  Daniel</v>
      </c>
      <c r="V65" s="823">
        <v>7</v>
      </c>
      <c r="W65" s="176">
        <v>26</v>
      </c>
      <c r="X65" s="183">
        <v>12</v>
      </c>
      <c r="Y65" s="470">
        <v>49</v>
      </c>
      <c r="Z65" s="1" t="str">
        <f>'Adressen Daten 25'!F14&amp;" "&amp;'Adressen Daten 25'!G14</f>
        <v>FB Burgdorf (1. Liga  W)</v>
      </c>
      <c r="AA65" s="1" t="str">
        <f>'Adressen Daten 25'!I14</f>
        <v>Stefan</v>
      </c>
      <c r="AB65" s="1" t="str">
        <f>'Adressen Daten 25'!J14</f>
        <v>Tschannen</v>
      </c>
      <c r="AC65" s="1" t="str">
        <f>IF('Adressen Daten 25'!K14=0," ",'Adressen Daten 25'!K14)</f>
        <v>Rumiweg 9</v>
      </c>
      <c r="AD65" s="1">
        <f>IF('Adressen Daten 25'!L14=0," ",'Adressen Daten 25'!L14)</f>
        <v>4900</v>
      </c>
      <c r="AE65" s="1" t="str">
        <f>IF('Adressen Daten 25'!M14=0," ",'Adressen Daten 25'!M14)</f>
        <v>Langenthal</v>
      </c>
      <c r="AF65" s="1" t="str">
        <f>IF('Adressen Daten 25'!N14=0," ",'Adressen Daten 25'!N14)</f>
        <v xml:space="preserve"> </v>
      </c>
      <c r="AG65" s="1" t="str">
        <f>'Adressen Daten 25'!O14</f>
        <v>079 329 41 52</v>
      </c>
      <c r="AH65" s="1" t="str">
        <f>'Adressen Daten 25'!P14</f>
        <v>st.fb_burgdorf@bluewin.ch</v>
      </c>
      <c r="AI65" s="679">
        <v>12</v>
      </c>
      <c r="AJ65" s="677"/>
      <c r="AK65" s="677"/>
    </row>
    <row r="66" spans="2:37" ht="15" customHeight="1">
      <c r="B66" s="716">
        <v>27</v>
      </c>
      <c r="C66" s="413">
        <v>27</v>
      </c>
      <c r="D66" s="472">
        <v>45812</v>
      </c>
      <c r="E66" s="491"/>
      <c r="F66" s="473">
        <v>44</v>
      </c>
      <c r="G66" s="473">
        <v>68</v>
      </c>
      <c r="H66" s="1079" t="str">
        <f>IF($F66=0,"",VLOOKUP($F66,$Y$17:$Z$94,2,0))</f>
        <v>STV Oberentfelden   ( 2. Liga )</v>
      </c>
      <c r="I66" s="1096"/>
      <c r="J66" s="517"/>
      <c r="K66" s="516" t="str">
        <f>IF($G66=0,"",VLOOKUP($G66,$Y$17:$Z$94,2,0))</f>
        <v>STV Oberentfelden   ( NLA )</v>
      </c>
      <c r="L66" s="846">
        <v>5</v>
      </c>
      <c r="M66" s="388"/>
      <c r="N66" s="388">
        <v>0</v>
      </c>
      <c r="O66" s="474">
        <v>45888</v>
      </c>
      <c r="P66" s="475">
        <v>0.8125</v>
      </c>
      <c r="Q66" s="443" t="s">
        <v>1347</v>
      </c>
      <c r="R66" s="443" t="s">
        <v>1323</v>
      </c>
      <c r="S66" s="476">
        <v>3</v>
      </c>
      <c r="T66" s="489">
        <v>95</v>
      </c>
      <c r="U66" s="852" t="str">
        <f>IF(T66=0,"",VLOOKUP(T66,Schiri_25!$A$2:$L$129,2,0)&amp;"  "&amp;VLOOKUP(T66,Schiri_25!$A$2:$L$129,3,0))</f>
        <v>Hochuli  Luca</v>
      </c>
      <c r="V66" s="823">
        <v>17</v>
      </c>
      <c r="W66" s="176">
        <v>27</v>
      </c>
      <c r="X66" s="183">
        <v>13</v>
      </c>
      <c r="Y66" s="470">
        <v>50</v>
      </c>
      <c r="Z66" s="1" t="str">
        <f>'Adressen Daten 25'!F15&amp;" "&amp;'Adressen Daten 25'!G15</f>
        <v xml:space="preserve">TSV Jona 2  ( 1. Liga O )  </v>
      </c>
      <c r="AA66" s="1" t="str">
        <f>'Adressen Daten 25'!I15</f>
        <v>Fabian</v>
      </c>
      <c r="AB66" s="1" t="str">
        <f>'Adressen Daten 25'!J15</f>
        <v>Zahner</v>
      </c>
      <c r="AC66" s="1" t="str">
        <f>IF('Adressen Daten 25'!K15=0," ",'Adressen Daten 25'!K15)</f>
        <v xml:space="preserve"> </v>
      </c>
      <c r="AD66" s="1" t="str">
        <f>IF('Adressen Daten 25'!L15=0," ",'Adressen Daten 25'!L15)</f>
        <v xml:space="preserve"> </v>
      </c>
      <c r="AE66" s="1" t="str">
        <f>IF('Adressen Daten 25'!M15=0," ",'Adressen Daten 25'!M15)</f>
        <v xml:space="preserve"> </v>
      </c>
      <c r="AF66" s="1" t="str">
        <f>IF('Adressen Daten 25'!N15=0," ",'Adressen Daten 25'!N15)</f>
        <v xml:space="preserve"> </v>
      </c>
      <c r="AG66" s="1" t="str">
        <f>'Adressen Daten 25'!O15</f>
        <v>076 592 09 17</v>
      </c>
      <c r="AH66" s="1" t="str">
        <f>'Adressen Daten 25'!P15</f>
        <v>tkchef@fbjona.ch</v>
      </c>
      <c r="AI66" s="679">
        <v>13</v>
      </c>
      <c r="AJ66" s="677"/>
    </row>
    <row r="67" spans="2:37" ht="15" customHeight="1">
      <c r="B67" s="716">
        <v>28</v>
      </c>
      <c r="C67" s="413">
        <v>28</v>
      </c>
      <c r="D67" s="491">
        <v>45863</v>
      </c>
      <c r="E67" s="491"/>
      <c r="F67" s="473">
        <v>69</v>
      </c>
      <c r="G67" s="473">
        <v>66</v>
      </c>
      <c r="H67" s="1062" t="str">
        <f>IF($F67=0,"",VLOOKUP($F67,$Y$17:$Z$94,2,0))</f>
        <v>FG Rickenbach-Wilen ( NLA )</v>
      </c>
      <c r="I67" s="1101"/>
      <c r="J67" s="517"/>
      <c r="K67" s="845" t="str">
        <f>IF($G67=0,"",VLOOKUP($G67,$Y$17:$Z$94,2,0))</f>
        <v>FG Elgg-Ettenhausen 1 ( NLA )</v>
      </c>
      <c r="L67" s="388">
        <v>3</v>
      </c>
      <c r="M67" s="388"/>
      <c r="N67" s="846">
        <v>5</v>
      </c>
      <c r="O67" s="474">
        <v>45897</v>
      </c>
      <c r="P67" s="475">
        <v>0.78819444444444442</v>
      </c>
      <c r="Q67" s="443" t="s">
        <v>294</v>
      </c>
      <c r="R67" s="443" t="s">
        <v>1364</v>
      </c>
      <c r="S67" s="476">
        <v>0</v>
      </c>
      <c r="T67" s="477">
        <v>9</v>
      </c>
      <c r="U67" s="852" t="str">
        <f>IF(T67=0,"",VLOOKUP(T67,Schiri_25!$A$2:$L$129,2,0)&amp;"  "&amp;VLOOKUP(T67,Schiri_25!$A$2:$L$129,3,0))</f>
        <v>Mähr  Reto</v>
      </c>
      <c r="V67" s="490">
        <v>9</v>
      </c>
      <c r="W67" s="176">
        <v>28</v>
      </c>
      <c r="X67" s="183">
        <v>14</v>
      </c>
      <c r="Y67" s="470">
        <v>51</v>
      </c>
      <c r="Z67" s="1" t="str">
        <f>'Adressen Daten 25'!F16&amp;" "&amp;'Adressen Daten 25'!G16</f>
        <v>STV Spreitenbach 1 ( 1. Liga W )</v>
      </c>
      <c r="AA67" s="1" t="str">
        <f>'Adressen Daten 25'!I16</f>
        <v>Thomas</v>
      </c>
      <c r="AB67" s="1" t="str">
        <f>'Adressen Daten 25'!J16</f>
        <v>Isenschmid</v>
      </c>
      <c r="AC67" s="1" t="str">
        <f>IF('Adressen Daten 25'!K16=0," ",'Adressen Daten 25'!K16)</f>
        <v xml:space="preserve"> </v>
      </c>
      <c r="AD67" s="1" t="str">
        <f>IF('Adressen Daten 25'!L16=0," ",'Adressen Daten 25'!L16)</f>
        <v xml:space="preserve"> </v>
      </c>
      <c r="AE67" s="1" t="str">
        <f>IF('Adressen Daten 25'!M16=0," ",'Adressen Daten 25'!M16)</f>
        <v xml:space="preserve"> </v>
      </c>
      <c r="AF67" s="1" t="str">
        <f>IF('Adressen Daten 25'!N16=0," ",'Adressen Daten 25'!N16)</f>
        <v xml:space="preserve"> </v>
      </c>
      <c r="AG67" s="1" t="str">
        <f>'Adressen Daten 25'!O16</f>
        <v>079 481 86 81</v>
      </c>
      <c r="AH67" s="1" t="str">
        <f>'Adressen Daten 25'!P16</f>
        <v>thomas@isenschmid.com</v>
      </c>
      <c r="AI67" s="679">
        <v>14</v>
      </c>
      <c r="AJ67" s="677"/>
      <c r="AK67" s="677"/>
    </row>
    <row r="68" spans="2:37" ht="15" customHeight="1" thickBot="1">
      <c r="B68" s="548"/>
      <c r="C68" s="549"/>
      <c r="D68" s="531"/>
      <c r="E68" s="544"/>
      <c r="F68" s="532"/>
      <c r="G68" s="532"/>
      <c r="H68" s="1104" t="str">
        <f>IF($F68=0,"",VLOOKUP($F68,$Y$17:$Z$94,2,0))</f>
        <v/>
      </c>
      <c r="I68" s="1105"/>
      <c r="J68" s="533"/>
      <c r="K68" s="534" t="str">
        <f>IF($G68=0,"",VLOOKUP($G68,$Y$17:$Z$94,2,0))</f>
        <v/>
      </c>
      <c r="L68" s="535"/>
      <c r="M68" s="535"/>
      <c r="N68" s="535"/>
      <c r="O68" s="536"/>
      <c r="P68" s="537"/>
      <c r="Q68" s="538"/>
      <c r="R68" s="538"/>
      <c r="S68" s="539"/>
      <c r="T68" s="540"/>
      <c r="U68" s="541" t="str">
        <f>IF(T68=0,"",VLOOKUP(T68,Schiri_25!$A$2:$L$129,2,0)&amp;"  "&amp;VLOOKUP(T68,Schiri_25!$A$2:$L$129,3,0))</f>
        <v/>
      </c>
      <c r="V68" s="542"/>
      <c r="W68" s="176"/>
      <c r="X68" s="183">
        <v>15</v>
      </c>
      <c r="Y68" s="470">
        <v>52</v>
      </c>
      <c r="Z68" s="1" t="str">
        <f>'Adressen Daten 25'!F17&amp;" "&amp;'Adressen Daten 25'!G17</f>
        <v>STV Vordemwald 2  ( 1. Liga W)</v>
      </c>
      <c r="AA68" s="1" t="str">
        <f>'Adressen Daten 25'!I17</f>
        <v>Reto</v>
      </c>
      <c r="AB68" s="1" t="str">
        <f>'Adressen Daten 25'!J17</f>
        <v>Von Ballmoos</v>
      </c>
      <c r="AC68" s="1" t="str">
        <f>IF('Adressen Daten 25'!K17=0," ",'Adressen Daten 25'!K17)</f>
        <v>Rotfarbstr 9</v>
      </c>
      <c r="AD68" s="1">
        <f>IF('Adressen Daten 25'!L17=0," ",'Adressen Daten 25'!L17)</f>
        <v>4800</v>
      </c>
      <c r="AE68" s="1" t="str">
        <f>IF('Adressen Daten 25'!M17=0," ",'Adressen Daten 25'!M17)</f>
        <v>Zofingen</v>
      </c>
      <c r="AF68" s="1" t="str">
        <f>IF('Adressen Daten 25'!N17=0," ",'Adressen Daten 25'!N17)</f>
        <v xml:space="preserve"> </v>
      </c>
      <c r="AG68" s="1" t="str">
        <f>'Adressen Daten 25'!O17</f>
        <v>079 721 45 82</v>
      </c>
      <c r="AH68" s="1" t="str">
        <f>'Adressen Daten 25'!P17</f>
        <v>reto.vonballmoos@gmail.com</v>
      </c>
      <c r="AI68" s="679">
        <v>15</v>
      </c>
      <c r="AJ68" s="677"/>
      <c r="AK68" s="677"/>
    </row>
    <row r="69" spans="2:37" ht="15" customHeight="1" thickBot="1">
      <c r="W69" s="176"/>
      <c r="X69" s="183">
        <v>16</v>
      </c>
      <c r="Y69" s="470">
        <v>53</v>
      </c>
      <c r="Z69" s="1" t="str">
        <f>'Adressen Daten 25'!F18&amp;" "&amp;'Adressen Daten 25'!G18</f>
        <v>STV Dägerlen ( NLB O )</v>
      </c>
      <c r="AA69" s="1" t="str">
        <f>'Adressen Daten 25'!I18</f>
        <v>Aron</v>
      </c>
      <c r="AB69" s="1" t="str">
        <f>'Adressen Daten 25'!J18</f>
        <v>Werder</v>
      </c>
      <c r="AC69" s="1" t="str">
        <f>IF('Adressen Daten 25'!K18=0," ",'Adressen Daten 25'!K18)</f>
        <v xml:space="preserve"> </v>
      </c>
      <c r="AD69" s="1" t="str">
        <f>IF('Adressen Daten 25'!L18=0," ",'Adressen Daten 25'!L18)</f>
        <v xml:space="preserve"> </v>
      </c>
      <c r="AE69" s="1" t="str">
        <f>IF('Adressen Daten 25'!M18=0," ",'Adressen Daten 25'!M18)</f>
        <v xml:space="preserve"> </v>
      </c>
      <c r="AF69" s="1" t="str">
        <f>IF('Adressen Daten 25'!N18=0," ",'Adressen Daten 25'!N18)</f>
        <v xml:space="preserve"> </v>
      </c>
      <c r="AG69" s="1" t="str">
        <f>'Adressen Daten 25'!O18</f>
        <v>077 423 20 05</v>
      </c>
      <c r="AH69" s="1" t="str">
        <f>'Adressen Daten 25'!P18</f>
        <v>materialwart@fbrdaegerlen.ch</v>
      </c>
      <c r="AI69" s="679">
        <v>16</v>
      </c>
      <c r="AJ69" s="677"/>
      <c r="AK69" s="677"/>
    </row>
    <row r="70" spans="2:37" ht="15" customHeight="1" thickBot="1">
      <c r="B70" s="378"/>
      <c r="C70" s="1067" t="str">
        <f>VLOOKUP($C$71,$Y$8:$AC$14,5,0)</f>
        <v>1/2 Final</v>
      </c>
      <c r="D70" s="1068"/>
      <c r="E70" s="1068"/>
      <c r="F70" s="1069"/>
      <c r="G70" s="294"/>
      <c r="H70" s="1070">
        <f>VLOOKUP($C$71,$Y$8:$AC$14,2,0)</f>
        <v>45887</v>
      </c>
      <c r="I70" s="1071"/>
      <c r="J70" s="355"/>
      <c r="K70" s="317">
        <f>VLOOKUP($C$71,$Y$8:$AC$14,3,0)</f>
        <v>45905</v>
      </c>
      <c r="L70" s="295"/>
      <c r="M70" s="295"/>
      <c r="N70" s="295"/>
      <c r="O70" s="295"/>
      <c r="P70" s="295"/>
      <c r="Q70" s="295"/>
      <c r="R70" s="295"/>
      <c r="S70" s="295"/>
      <c r="T70" s="296"/>
      <c r="U70" s="295"/>
      <c r="V70" s="482"/>
      <c r="W70" s="176"/>
      <c r="X70" s="183">
        <v>17</v>
      </c>
      <c r="Y70" s="470">
        <v>54</v>
      </c>
      <c r="Z70" s="1" t="str">
        <f>'Adressen Daten 25'!F19&amp;" "&amp;'Adressen Daten 25'!G19</f>
        <v>STV Dozwil ( NLB O )</v>
      </c>
      <c r="AA70" s="1" t="str">
        <f>'Adressen Daten 25'!I19</f>
        <v>Josua</v>
      </c>
      <c r="AB70" s="1" t="str">
        <f>'Adressen Daten 25'!J19</f>
        <v>Schlattinger</v>
      </c>
      <c r="AC70" s="1" t="str">
        <f>IF('Adressen Daten 25'!K19=0," ",'Adressen Daten 25'!K19)</f>
        <v xml:space="preserve"> </v>
      </c>
      <c r="AD70" s="1" t="str">
        <f>IF('Adressen Daten 25'!L19=0," ",'Adressen Daten 25'!L19)</f>
        <v xml:space="preserve"> </v>
      </c>
      <c r="AE70" s="1" t="str">
        <f>IF('Adressen Daten 25'!M19=0," ",'Adressen Daten 25'!M19)</f>
        <v xml:space="preserve"> </v>
      </c>
      <c r="AF70" s="1" t="str">
        <f>IF('Adressen Daten 25'!N19=0," ",'Adressen Daten 25'!N19)</f>
        <v xml:space="preserve"> </v>
      </c>
      <c r="AG70" s="1" t="str">
        <f>'Adressen Daten 25'!O19</f>
        <v>076 320 30 46</v>
      </c>
      <c r="AH70" s="1" t="str">
        <f>'Adressen Daten 25'!P19</f>
        <v>j.schlattinger@gmx.ch</v>
      </c>
      <c r="AI70" s="679">
        <v>17</v>
      </c>
      <c r="AJ70" s="677"/>
      <c r="AK70" s="677"/>
    </row>
    <row r="71" spans="2:37" ht="15" customHeight="1">
      <c r="B71" s="379"/>
      <c r="C71" s="195">
        <v>5</v>
      </c>
      <c r="D71" s="269"/>
      <c r="E71" s="269"/>
      <c r="F71" s="268"/>
      <c r="G71" s="268"/>
      <c r="H71" s="268"/>
      <c r="I71" s="269"/>
      <c r="J71" s="269"/>
      <c r="K71" s="297"/>
      <c r="L71" s="269"/>
      <c r="M71" s="269"/>
      <c r="N71" s="269"/>
      <c r="O71" s="269"/>
      <c r="P71" s="269"/>
      <c r="Q71" s="269"/>
      <c r="R71" s="269"/>
      <c r="S71" s="269"/>
      <c r="T71" s="195"/>
      <c r="U71" s="269"/>
      <c r="V71" s="298"/>
      <c r="W71" s="176"/>
      <c r="X71" s="183">
        <v>18</v>
      </c>
      <c r="Y71" s="470">
        <v>55</v>
      </c>
      <c r="Z71" s="1" t="str">
        <f>'Adressen Daten 25'!F20&amp;" "&amp;'Adressen Daten 25'!G20</f>
        <v>FG Elgg-Ettenhausen 2 ( NLB O )</v>
      </c>
      <c r="AA71" s="1" t="str">
        <f>'Adressen Daten 25'!I20</f>
        <v>Christian</v>
      </c>
      <c r="AB71" s="1" t="str">
        <f>'Adressen Daten 25'!J20</f>
        <v>Götsch</v>
      </c>
      <c r="AC71" s="1" t="str">
        <f>IF('Adressen Daten 25'!K20=0," ",'Adressen Daten 25'!K20)</f>
        <v>Handestr 15</v>
      </c>
      <c r="AD71" s="1">
        <f>IF('Adressen Daten 25'!L20=0," ",'Adressen Daten 25'!L20)</f>
        <v>8357</v>
      </c>
      <c r="AE71" s="1" t="str">
        <f>IF('Adressen Daten 25'!M20=0," ",'Adressen Daten 25'!M20)</f>
        <v>Guntershausen</v>
      </c>
      <c r="AF71" s="1" t="str">
        <f>IF('Adressen Daten 25'!N20=0," ",'Adressen Daten 25'!N20)</f>
        <v xml:space="preserve"> </v>
      </c>
      <c r="AG71" s="1" t="str">
        <f>'Adressen Daten 25'!O20</f>
        <v>078 711 66 45</v>
      </c>
      <c r="AH71" s="1" t="str">
        <f>'Adressen Daten 25'!P20</f>
        <v>christian.goetsch@fbv-ettenhausen.ch</v>
      </c>
      <c r="AI71" s="679">
        <v>18</v>
      </c>
      <c r="AJ71" s="677"/>
      <c r="AK71" s="677"/>
    </row>
    <row r="72" spans="2:37" ht="21">
      <c r="B72" s="483"/>
      <c r="C72" s="529" t="s">
        <v>332</v>
      </c>
      <c r="D72" s="530" t="s">
        <v>333</v>
      </c>
      <c r="E72" s="530" t="s">
        <v>334</v>
      </c>
      <c r="F72" s="484"/>
      <c r="G72" s="484"/>
      <c r="H72" s="1072" t="s">
        <v>335</v>
      </c>
      <c r="I72" s="1073"/>
      <c r="J72" s="373"/>
      <c r="K72" s="480" t="s">
        <v>336</v>
      </c>
      <c r="L72" s="1078" t="s">
        <v>337</v>
      </c>
      <c r="M72" s="1078"/>
      <c r="N72" s="1078"/>
      <c r="O72" s="480" t="s">
        <v>338</v>
      </c>
      <c r="P72" s="480" t="s">
        <v>0</v>
      </c>
      <c r="Q72" s="480" t="s">
        <v>6</v>
      </c>
      <c r="R72" s="485" t="s">
        <v>341</v>
      </c>
      <c r="S72" s="299" t="s">
        <v>343</v>
      </c>
      <c r="T72" s="486"/>
      <c r="U72" s="373" t="s">
        <v>339</v>
      </c>
      <c r="V72" s="487"/>
      <c r="W72" s="176"/>
      <c r="X72" s="183">
        <v>19</v>
      </c>
      <c r="Y72" s="470">
        <v>56</v>
      </c>
      <c r="Z72" s="1" t="str">
        <f>'Adressen Daten 25'!F21&amp;" "&amp;'Adressen Daten 25'!G21</f>
        <v>TSV Jona 1( NLB O )</v>
      </c>
      <c r="AA72" s="1" t="str">
        <f>'Adressen Daten 25'!I21</f>
        <v>Fabian</v>
      </c>
      <c r="AB72" s="1" t="str">
        <f>'Adressen Daten 25'!J21</f>
        <v>Zahner</v>
      </c>
      <c r="AC72" s="1" t="str">
        <f>IF('Adressen Daten 25'!K21=0," ",'Adressen Daten 25'!K21)</f>
        <v xml:space="preserve"> </v>
      </c>
      <c r="AD72" s="1" t="str">
        <f>IF('Adressen Daten 25'!L21=0," ",'Adressen Daten 25'!L21)</f>
        <v xml:space="preserve"> </v>
      </c>
      <c r="AE72" s="1" t="str">
        <f>IF('Adressen Daten 25'!M21=0," ",'Adressen Daten 25'!M21)</f>
        <v xml:space="preserve"> </v>
      </c>
      <c r="AF72" s="1" t="str">
        <f>IF('Adressen Daten 25'!N21=0," ",'Adressen Daten 25'!N21)</f>
        <v xml:space="preserve"> </v>
      </c>
      <c r="AG72" s="1" t="str">
        <f>'Adressen Daten 25'!O21</f>
        <v>076 592 09 17</v>
      </c>
      <c r="AH72" s="1" t="str">
        <f>'Adressen Daten 25'!P21</f>
        <v>tkchef@fbjona.ch</v>
      </c>
      <c r="AI72" s="679">
        <v>19</v>
      </c>
      <c r="AJ72" s="677"/>
      <c r="AK72" s="677"/>
    </row>
    <row r="73" spans="2:37" ht="15" customHeight="1">
      <c r="B73" s="716">
        <v>29</v>
      </c>
      <c r="C73" s="413">
        <v>29</v>
      </c>
      <c r="D73" s="472">
        <v>45890</v>
      </c>
      <c r="E73" s="491"/>
      <c r="F73" s="473">
        <v>65</v>
      </c>
      <c r="G73" s="473">
        <v>64</v>
      </c>
      <c r="H73" s="1062" t="str">
        <f>IF($F73=0,"",VLOOKUP($F73,$Y$17:$Z$94,2,0))</f>
        <v>SVD Diepoldsau-Schmitter (NLA)</v>
      </c>
      <c r="I73" s="1101"/>
      <c r="J73" s="356"/>
      <c r="K73" s="845" t="str">
        <f>IF($G73=0,"",VLOOKUP($G73,$Y$17:$Z$94,2,0))</f>
        <v>STV Affeltrangen  ( NLA )</v>
      </c>
      <c r="L73" s="747">
        <v>1</v>
      </c>
      <c r="M73" s="388"/>
      <c r="N73" s="846">
        <v>5</v>
      </c>
      <c r="O73" s="474">
        <v>45897</v>
      </c>
      <c r="P73" s="475">
        <v>0.79166666666666663</v>
      </c>
      <c r="Q73" s="488" t="s">
        <v>19</v>
      </c>
      <c r="R73" s="488" t="s">
        <v>19</v>
      </c>
      <c r="S73" s="476">
        <v>0</v>
      </c>
      <c r="T73" s="489">
        <v>13</v>
      </c>
      <c r="U73" s="852" t="str">
        <f>IF(T73=0,"",VLOOKUP(T73,Schiri_25!$A$2:$L$129,2,0)&amp;"  "&amp;VLOOKUP(T73,Schiri_25!$A$2:$L$129,3,0))</f>
        <v>Sieber  Patrick</v>
      </c>
      <c r="V73" s="490">
        <v>5</v>
      </c>
      <c r="W73" s="1">
        <v>29</v>
      </c>
      <c r="X73" s="183">
        <v>20</v>
      </c>
      <c r="Y73" s="470">
        <v>57</v>
      </c>
      <c r="Z73" s="1" t="str">
        <f>'Adressen Daten 25'!F22&amp;" "&amp;'Adressen Daten 25'!G22</f>
        <v>STV Kirchberg  ( NLB W )</v>
      </c>
      <c r="AA73" s="1" t="str">
        <f>'Adressen Daten 25'!I22</f>
        <v>Rudolf</v>
      </c>
      <c r="AB73" s="1" t="str">
        <f>'Adressen Daten 25'!J22</f>
        <v>Nyffenegger</v>
      </c>
      <c r="AC73" s="1" t="str">
        <f>IF('Adressen Daten 25'!K22=0," ",'Adressen Daten 25'!K22)</f>
        <v>Solothurnerstr 31</v>
      </c>
      <c r="AD73" s="1">
        <f>IF('Adressen Daten 25'!L22=0," ",'Adressen Daten 25'!L22)</f>
        <v>3422</v>
      </c>
      <c r="AE73" s="1" t="str">
        <f>IF('Adressen Daten 25'!M22=0," ",'Adressen Daten 25'!M22)</f>
        <v>Kirchberg</v>
      </c>
      <c r="AF73" s="1" t="str">
        <f>IF('Adressen Daten 25'!N22=0," ",'Adressen Daten 25'!N22)</f>
        <v xml:space="preserve"> </v>
      </c>
      <c r="AG73" s="1" t="str">
        <f>'Adressen Daten 25'!O22</f>
        <v>079 376 96 25</v>
      </c>
      <c r="AH73" s="1" t="str">
        <f>'Adressen Daten 25'!P22</f>
        <v>faustball@tvkirchberg.ch</v>
      </c>
      <c r="AI73" s="679">
        <v>20</v>
      </c>
      <c r="AJ73" s="677"/>
      <c r="AK73" s="677"/>
    </row>
    <row r="74" spans="2:37" ht="15" customHeight="1">
      <c r="B74" s="716">
        <v>30</v>
      </c>
      <c r="C74" s="413"/>
      <c r="D74" s="491"/>
      <c r="E74" s="491"/>
      <c r="F74" s="473">
        <v>44</v>
      </c>
      <c r="G74" s="473">
        <v>66</v>
      </c>
      <c r="H74" s="1062" t="str">
        <f>IF($F74=0,"",VLOOKUP($F74,$Y$17:$Z$94,2,0))</f>
        <v>STV Oberentfelden   ( 2. Liga )</v>
      </c>
      <c r="I74" s="1101"/>
      <c r="J74" s="517"/>
      <c r="K74" s="516" t="str">
        <f>IF($G74=0,"",VLOOKUP($G74,$Y$17:$Z$94,2,0))</f>
        <v>FG Elgg-Ettenhausen 1 ( NLA )</v>
      </c>
      <c r="L74" s="388"/>
      <c r="M74" s="388"/>
      <c r="N74" s="388"/>
      <c r="O74" s="474"/>
      <c r="P74" s="475"/>
      <c r="Q74" s="443"/>
      <c r="R74" s="443"/>
      <c r="S74" s="476"/>
      <c r="T74" s="489"/>
      <c r="U74" s="478" t="str">
        <f>IF(T74=0,"",VLOOKUP(T74,Schiri_25!$A$2:$L$129,2,0)&amp;"  "&amp;VLOOKUP(T74,Schiri_25!$A$2:$L$129,3,0))</f>
        <v/>
      </c>
      <c r="V74" s="490"/>
      <c r="W74" s="22">
        <v>30</v>
      </c>
      <c r="X74" s="183">
        <v>21</v>
      </c>
      <c r="Y74" s="470">
        <v>58</v>
      </c>
      <c r="Z74" s="1" t="str">
        <f>'Adressen Daten 25'!F23&amp;" "&amp;'Adressen Daten 25'!G23</f>
        <v>TV Oberwinterthur  (NLB )</v>
      </c>
      <c r="AA74" s="1" t="str">
        <f>'Adressen Daten 25'!I23</f>
        <v>Fabio</v>
      </c>
      <c r="AB74" s="1" t="str">
        <f>'Adressen Daten 25'!J23</f>
        <v>Schiess</v>
      </c>
      <c r="AC74" s="1" t="str">
        <f>IF('Adressen Daten 25'!K23=0," ",'Adressen Daten 25'!K23)</f>
        <v>Hofwis 12</v>
      </c>
      <c r="AD74" s="1">
        <f>IF('Adressen Daten 25'!L23=0," ",'Adressen Daten 25'!L23)</f>
        <v>8352</v>
      </c>
      <c r="AE74" s="1" t="str">
        <f>IF('Adressen Daten 25'!M23=0," ",'Adressen Daten 25'!M23)</f>
        <v>Elsau</v>
      </c>
      <c r="AF74" s="1" t="str">
        <f>IF('Adressen Daten 25'!N23=0," ",'Adressen Daten 25'!N23)</f>
        <v xml:space="preserve"> </v>
      </c>
      <c r="AG74" s="1" t="str">
        <f>'Adressen Daten 25'!O23</f>
        <v>079 913 84 85</v>
      </c>
      <c r="AH74" s="1" t="str">
        <f>'Adressen Daten 25'!P23</f>
        <v>fabio.schiess@schiessag.ch</v>
      </c>
      <c r="AI74" s="679">
        <v>21</v>
      </c>
      <c r="AJ74" s="677"/>
      <c r="AK74" s="677"/>
    </row>
    <row r="75" spans="2:37" ht="15" customHeight="1">
      <c r="B75" s="716"/>
      <c r="C75" s="413"/>
      <c r="D75" s="472"/>
      <c r="E75" s="491"/>
      <c r="F75" s="473"/>
      <c r="G75" s="473"/>
      <c r="H75" s="1062"/>
      <c r="I75" s="1063"/>
      <c r="J75" s="517"/>
      <c r="K75" s="516"/>
      <c r="L75" s="388"/>
      <c r="M75" s="388"/>
      <c r="N75" s="388"/>
      <c r="O75" s="474"/>
      <c r="P75" s="475"/>
      <c r="Q75" s="443"/>
      <c r="R75" s="443"/>
      <c r="S75" s="476"/>
      <c r="T75" s="489"/>
      <c r="U75" s="478" t="str">
        <f>IF(T75=0,"",VLOOKUP(T75,Schiri_25!$A$2:$L$129,2,0)&amp;"  "&amp;VLOOKUP(T75,Schiri_25!$A$2:$L$129,3,0))</f>
        <v/>
      </c>
      <c r="V75" s="490"/>
      <c r="W75" s="22"/>
      <c r="X75" s="183">
        <v>22</v>
      </c>
      <c r="Y75" s="470">
        <v>59</v>
      </c>
      <c r="Z75" s="1" t="str">
        <f>'Adressen Daten 25'!F24&amp;" "&amp;'Adressen Daten 25'!G24</f>
        <v>STV Rickenbach-Wilen 2 ( NLB )</v>
      </c>
      <c r="AA75" s="1" t="str">
        <f>'Adressen Daten 25'!I24</f>
        <v>Jonas</v>
      </c>
      <c r="AB75" s="1" t="str">
        <f>'Adressen Daten 25'!J24</f>
        <v>Hess</v>
      </c>
      <c r="AC75" s="1" t="str">
        <f>IF('Adressen Daten 25'!K24=0," ",'Adressen Daten 25'!K24)</f>
        <v xml:space="preserve"> </v>
      </c>
      <c r="AD75" s="1" t="str">
        <f>IF('Adressen Daten 25'!L24=0," ",'Adressen Daten 25'!L24)</f>
        <v xml:space="preserve"> </v>
      </c>
      <c r="AE75" s="1" t="str">
        <f>IF('Adressen Daten 25'!M24=0," ",'Adressen Daten 25'!M24)</f>
        <v xml:space="preserve"> </v>
      </c>
      <c r="AF75" s="1" t="str">
        <f>IF('Adressen Daten 25'!N24=0," ",'Adressen Daten 25'!N24)</f>
        <v xml:space="preserve"> </v>
      </c>
      <c r="AG75" s="1" t="str">
        <f>'Adressen Daten 25'!O24</f>
        <v>079 900 69 17</v>
      </c>
      <c r="AH75" s="1" t="str">
        <f>'Adressen Daten 25'!P24</f>
        <v>spiko@fgriwi.ch</v>
      </c>
      <c r="AI75" s="679">
        <v>22</v>
      </c>
      <c r="AJ75" s="677"/>
      <c r="AK75" s="677"/>
    </row>
    <row r="76" spans="2:37" ht="15" customHeight="1">
      <c r="B76" s="716"/>
      <c r="C76" s="413"/>
      <c r="D76" s="491"/>
      <c r="E76" s="491"/>
      <c r="F76" s="473"/>
      <c r="G76" s="473"/>
      <c r="H76" s="1062" t="str">
        <f>IF($F76=0,"",VLOOKUP($F76,$Y$17:$Z$94,2,0))</f>
        <v/>
      </c>
      <c r="I76" s="1063"/>
      <c r="J76" s="517"/>
      <c r="K76" s="516" t="str">
        <f>IF($G76=0,"",VLOOKUP($G76,$Y$17:$Z$94,2,0))</f>
        <v/>
      </c>
      <c r="L76" s="388"/>
      <c r="M76" s="388"/>
      <c r="N76" s="388"/>
      <c r="O76" s="474"/>
      <c r="P76" s="475"/>
      <c r="Q76" s="443"/>
      <c r="R76" s="443"/>
      <c r="S76" s="476"/>
      <c r="T76" s="477"/>
      <c r="U76" s="478" t="str">
        <f>IF(T76=0,"",VLOOKUP(T76,Schiri_25!$A$2:$L$129,2,0)&amp;"  "&amp;VLOOKUP(T76,Schiri_25!$A$2:$L$129,3,0))</f>
        <v/>
      </c>
      <c r="V76" s="490"/>
      <c r="W76" s="22"/>
      <c r="X76" s="183">
        <v>23</v>
      </c>
      <c r="Y76" s="470">
        <v>60</v>
      </c>
      <c r="Z76" s="1" t="str">
        <f>'Adressen Daten 25'!F25&amp;" "&amp;'Adressen Daten 25'!G25</f>
        <v>STV Schlieren ( NLB O )</v>
      </c>
      <c r="AA76" s="1" t="str">
        <f>'Adressen Daten 25'!I25</f>
        <v>Andreas</v>
      </c>
      <c r="AB76" s="1" t="str">
        <f>'Adressen Daten 25'!J25</f>
        <v>Fritschi</v>
      </c>
      <c r="AC76" s="1" t="str">
        <f>IF('Adressen Daten 25'!K25=0," ",'Adressen Daten 25'!K25)</f>
        <v xml:space="preserve"> </v>
      </c>
      <c r="AD76" s="1" t="str">
        <f>IF('Adressen Daten 25'!L25=0," ",'Adressen Daten 25'!L25)</f>
        <v xml:space="preserve"> </v>
      </c>
      <c r="AE76" s="1" t="str">
        <f>IF('Adressen Daten 25'!M25=0," ",'Adressen Daten 25'!M25)</f>
        <v xml:space="preserve"> </v>
      </c>
      <c r="AF76" s="1" t="str">
        <f>IF('Adressen Daten 25'!N25=0," ",'Adressen Daten 25'!N25)</f>
        <v xml:space="preserve"> </v>
      </c>
      <c r="AG76" s="1" t="str">
        <f>'Adressen Daten 25'!O25</f>
        <v>079 602 18 32</v>
      </c>
      <c r="AH76" s="1" t="str">
        <f>'Adressen Daten 25'!P25</f>
        <v>maenner@faustballschlieren.ch</v>
      </c>
      <c r="AI76" s="679">
        <v>23</v>
      </c>
      <c r="AJ76" s="677"/>
      <c r="AK76" s="677"/>
    </row>
    <row r="77" spans="2:37" ht="15" customHeight="1" thickBot="1">
      <c r="B77" s="548"/>
      <c r="C77" s="549"/>
      <c r="D77" s="531"/>
      <c r="E77" s="544"/>
      <c r="F77" s="532"/>
      <c r="G77" s="532"/>
      <c r="H77" s="1097" t="str">
        <f>IF($F77=0,"",VLOOKUP($F77,$Y$17:$Z$94,2,0))</f>
        <v/>
      </c>
      <c r="I77" s="1098"/>
      <c r="J77" s="533"/>
      <c r="K77" s="534" t="str">
        <f>IF($G77=0,"",VLOOKUP($G77,$Y$17:$Z$94,2,0))</f>
        <v/>
      </c>
      <c r="L77" s="535"/>
      <c r="M77" s="535"/>
      <c r="N77" s="535"/>
      <c r="O77" s="536"/>
      <c r="P77" s="537"/>
      <c r="Q77" s="538"/>
      <c r="R77" s="538"/>
      <c r="S77" s="539"/>
      <c r="T77" s="540"/>
      <c r="U77" s="541" t="str">
        <f>IF(T77=0,"",VLOOKUP(T77,Schiri_25!$A$2:$L$129,2,0)&amp;"  "&amp;VLOOKUP(T77,Schiri_25!$A$2:$L$129,3,0))</f>
        <v/>
      </c>
      <c r="V77" s="542"/>
      <c r="W77" s="22"/>
      <c r="X77" s="183">
        <v>24</v>
      </c>
      <c r="Y77" s="470">
        <v>61</v>
      </c>
      <c r="Z77" s="1" t="str">
        <f>'Adressen Daten 25'!F26&amp;" "&amp;'Adressen Daten 25'!G26</f>
        <v>STV Schlossrued ( NLB W )</v>
      </c>
      <c r="AA77" s="1" t="str">
        <f>'Adressen Daten 25'!I26</f>
        <v>Michael</v>
      </c>
      <c r="AB77" s="1" t="str">
        <f>'Adressen Daten 25'!J26</f>
        <v>Hochuli</v>
      </c>
      <c r="AC77" s="1" t="str">
        <f>IF('Adressen Daten 25'!K26=0," ",'Adressen Daten 25'!K26)</f>
        <v>Gartenstr 4a</v>
      </c>
      <c r="AD77" s="1">
        <f>IF('Adressen Daten 25'!L26=0," ",'Adressen Daten 25'!L26)</f>
        <v>5043</v>
      </c>
      <c r="AE77" s="1" t="str">
        <f>IF('Adressen Daten 25'!M26=0," ",'Adressen Daten 25'!M26)</f>
        <v>Holzikon</v>
      </c>
      <c r="AF77" s="1" t="str">
        <f>IF('Adressen Daten 25'!N26=0," ",'Adressen Daten 25'!N26)</f>
        <v xml:space="preserve"> </v>
      </c>
      <c r="AG77" s="1" t="str">
        <f>'Adressen Daten 25'!O26</f>
        <v>079 607 23 24</v>
      </c>
      <c r="AH77" s="1" t="str">
        <f>'Adressen Daten 25'!P26</f>
        <v>michi_ho1997@hotmail.com</v>
      </c>
      <c r="AI77" s="679">
        <v>24</v>
      </c>
      <c r="AJ77" s="677"/>
      <c r="AK77" s="677"/>
    </row>
    <row r="78" spans="2:37" ht="15" customHeight="1">
      <c r="B78" s="30"/>
      <c r="C78" s="176"/>
      <c r="D78" s="523"/>
      <c r="E78" s="523"/>
      <c r="F78" s="524"/>
      <c r="G78" s="524"/>
      <c r="H78" s="1099" t="str">
        <f>IF($F78=0,"",VLOOKUP($F78,$Y$17:$Z$94,2,0))</f>
        <v/>
      </c>
      <c r="I78" s="1099"/>
      <c r="J78" s="157"/>
      <c r="K78" s="157" t="str">
        <f>IF($G78=0,"",VLOOKUP($G78,$Y$17:$Z$94,2,0))</f>
        <v/>
      </c>
      <c r="L78" s="172"/>
      <c r="M78" s="172"/>
      <c r="N78" s="172"/>
      <c r="O78" s="525"/>
      <c r="P78" s="526"/>
      <c r="Q78" s="179"/>
      <c r="R78" s="179"/>
      <c r="S78" s="522"/>
      <c r="T78" s="521"/>
      <c r="U78" s="527" t="str">
        <f>IF(T78=0,"",VLOOKUP(T78,Schiri_25!$A$2:$L$129,2,0)&amp;"  "&amp;VLOOKUP(T78,Schiri_25!$A$2:$L$129,3,0))</f>
        <v/>
      </c>
      <c r="V78" s="524">
        <f>SUM(V73:V77)</f>
        <v>5</v>
      </c>
      <c r="W78" s="22"/>
      <c r="X78" s="183">
        <v>25</v>
      </c>
      <c r="Y78" s="470">
        <v>62</v>
      </c>
      <c r="Z78" s="1" t="str">
        <f>'Adressen Daten 25'!F27&amp;" "&amp;'Adressen Daten 25'!G27</f>
        <v>FB Schwellbrunn ( NLB  O)</v>
      </c>
      <c r="AA78" s="1" t="str">
        <f>'Adressen Daten 25'!I27</f>
        <v>Kenneth</v>
      </c>
      <c r="AB78" s="1" t="str">
        <f>'Adressen Daten 25'!J27</f>
        <v>Schoch</v>
      </c>
      <c r="AC78" s="1" t="str">
        <f>IF('Adressen Daten 25'!K27=0," ",'Adressen Daten 25'!K27)</f>
        <v xml:space="preserve">Ahornstr </v>
      </c>
      <c r="AD78" s="1">
        <f>IF('Adressen Daten 25'!L27=0," ",'Adressen Daten 25'!L27)</f>
        <v>9100</v>
      </c>
      <c r="AE78" s="1" t="str">
        <f>IF('Adressen Daten 25'!M27=0," ",'Adressen Daten 25'!M27)</f>
        <v>Herisau</v>
      </c>
      <c r="AF78" s="1" t="str">
        <f>IF('Adressen Daten 25'!N27=0," ",'Adressen Daten 25'!N27)</f>
        <v xml:space="preserve"> </v>
      </c>
      <c r="AG78" s="1" t="str">
        <f>'Adressen Daten 25'!O27</f>
        <v>079 603 88 30</v>
      </c>
      <c r="AH78" s="1" t="str">
        <f>'Adressen Daten 25'!P27</f>
        <v>kennethschoch@bluewin.ch</v>
      </c>
      <c r="AI78" s="679">
        <v>25</v>
      </c>
      <c r="AJ78" s="677"/>
      <c r="AK78" s="677"/>
    </row>
    <row r="79" spans="2:37" ht="15" customHeight="1" thickBot="1">
      <c r="B79" s="30"/>
      <c r="C79" s="176"/>
      <c r="D79" s="528"/>
      <c r="E79" s="523"/>
      <c r="F79" s="524"/>
      <c r="G79" s="524"/>
      <c r="H79" s="1099" t="str">
        <f>IF($F79=0,"",VLOOKUP($F79,$Y$17:$Z$94,2,0))</f>
        <v/>
      </c>
      <c r="I79" s="1099"/>
      <c r="J79" s="157"/>
      <c r="K79" s="157" t="str">
        <f>IF($G79=0,"",VLOOKUP($G79,$Y$17:$Z$94,2,0))</f>
        <v/>
      </c>
      <c r="L79" s="172"/>
      <c r="M79" s="172"/>
      <c r="N79" s="172"/>
      <c r="O79" s="525"/>
      <c r="P79" s="526"/>
      <c r="Q79" s="179"/>
      <c r="R79" s="179"/>
      <c r="S79" s="522"/>
      <c r="T79" s="521"/>
      <c r="U79" s="527" t="str">
        <f>IF(T79=0,"",VLOOKUP(T79,Schiri_25!$A$2:$L$129,2,0)&amp;"  "&amp;VLOOKUP(T79,Schiri_25!$A$2:$L$129,3,0))</f>
        <v/>
      </c>
      <c r="V79" s="524"/>
      <c r="W79" s="22"/>
      <c r="X79" s="183">
        <v>26</v>
      </c>
      <c r="Y79" s="470">
        <v>63</v>
      </c>
      <c r="Z79" s="1" t="str">
        <f>'Adressen Daten 25'!F28&amp;" "&amp;'Adressen Daten 25'!G28</f>
        <v>STV Vordemwald 1 ( NLB W )</v>
      </c>
      <c r="AA79" s="1" t="str">
        <f>'Adressen Daten 25'!I28</f>
        <v>Reto</v>
      </c>
      <c r="AB79" s="1" t="str">
        <f>'Adressen Daten 25'!J28</f>
        <v>von Ballmoos</v>
      </c>
      <c r="AC79" s="1" t="str">
        <f>IF('Adressen Daten 25'!K28=0," ",'Adressen Daten 25'!K28)</f>
        <v>Rotfarbstr 9</v>
      </c>
      <c r="AD79" s="1">
        <f>IF('Adressen Daten 25'!L28=0," ",'Adressen Daten 25'!L28)</f>
        <v>4800</v>
      </c>
      <c r="AE79" s="1" t="str">
        <f>IF('Adressen Daten 25'!M28=0," ",'Adressen Daten 25'!M28)</f>
        <v>Zofingen</v>
      </c>
      <c r="AF79" s="1" t="str">
        <f>IF('Adressen Daten 25'!N28=0," ",'Adressen Daten 25'!N28)</f>
        <v xml:space="preserve"> </v>
      </c>
      <c r="AG79" s="1" t="str">
        <f>'Adressen Daten 25'!O28</f>
        <v>079 721 45 82</v>
      </c>
      <c r="AH79" s="1" t="str">
        <f>'Adressen Daten 25'!P28</f>
        <v>reto.vonballmoos@gmail.com</v>
      </c>
      <c r="AI79" s="679">
        <v>26</v>
      </c>
      <c r="AJ79" s="677"/>
      <c r="AK79" s="677"/>
    </row>
    <row r="80" spans="2:37" ht="15" customHeight="1" thickBot="1">
      <c r="B80" s="378"/>
      <c r="C80" s="1067" t="str">
        <f>VLOOKUP($C$81,$Y$8:$AC$14,5,0)</f>
        <v>Final</v>
      </c>
      <c r="D80" s="1068"/>
      <c r="E80" s="1068"/>
      <c r="F80" s="1069"/>
      <c r="G80" s="294"/>
      <c r="H80" s="1070">
        <f>VLOOKUP($C$81,$Y$8:$AC$14,2,0)</f>
        <v>45920</v>
      </c>
      <c r="I80" s="1071"/>
      <c r="J80" s="355"/>
      <c r="K80" s="317"/>
      <c r="L80" s="295"/>
      <c r="M80" s="295"/>
      <c r="N80" s="295"/>
      <c r="O80" s="295"/>
      <c r="P80" s="295"/>
      <c r="Q80" s="295"/>
      <c r="R80" s="295"/>
      <c r="S80" s="295"/>
      <c r="T80" s="296"/>
      <c r="U80" s="295"/>
      <c r="V80" s="482"/>
      <c r="W80" s="22"/>
      <c r="X80" s="183">
        <v>27</v>
      </c>
      <c r="Y80" s="470">
        <v>64</v>
      </c>
      <c r="Z80" s="1" t="str">
        <f>'Adressen Daten 25'!F29&amp;" "&amp;'Adressen Daten 25'!G29</f>
        <v>STV Affeltrangen  ( NLA )</v>
      </c>
      <c r="AA80" s="1" t="str">
        <f>'Adressen Daten 25'!I29</f>
        <v>Andreas</v>
      </c>
      <c r="AB80" s="1" t="str">
        <f>'Adressen Daten 25'!J29</f>
        <v>Ribi</v>
      </c>
      <c r="AC80" s="1" t="str">
        <f>IF('Adressen Daten 25'!K29=0," ",'Adressen Daten 25'!K29)</f>
        <v>Unterdorfstr 2b</v>
      </c>
      <c r="AD80" s="1">
        <f>IF('Adressen Daten 25'!L29=0," ",'Adressen Daten 25'!L29)</f>
        <v>8507</v>
      </c>
      <c r="AE80" s="1" t="str">
        <f>IF('Adressen Daten 25'!M29=0," ",'Adressen Daten 25'!M29)</f>
        <v>Hörhausen</v>
      </c>
      <c r="AF80" s="1" t="str">
        <f>IF('Adressen Daten 25'!N29=0," ",'Adressen Daten 25'!N29)</f>
        <v xml:space="preserve"> </v>
      </c>
      <c r="AG80" s="1" t="str">
        <f>'Adressen Daten 25'!O29</f>
        <v>079 585 70 85</v>
      </c>
      <c r="AH80" s="1" t="str">
        <f>'Adressen Daten 25'!P29</f>
        <v xml:space="preserve">faustball@stv-affeltrangen.ch </v>
      </c>
      <c r="AI80" s="679">
        <v>27</v>
      </c>
      <c r="AJ80" s="677"/>
      <c r="AK80" s="677"/>
    </row>
    <row r="81" spans="2:37" ht="15" customHeight="1">
      <c r="B81" s="379"/>
      <c r="C81" s="195">
        <v>6</v>
      </c>
      <c r="D81" s="269"/>
      <c r="E81" s="269"/>
      <c r="F81" s="268"/>
      <c r="G81" s="268"/>
      <c r="H81" s="268"/>
      <c r="I81" s="269"/>
      <c r="J81" s="269"/>
      <c r="K81" s="297"/>
      <c r="L81" s="269"/>
      <c r="M81" s="269"/>
      <c r="N81" s="269"/>
      <c r="O81" s="269"/>
      <c r="P81" s="269"/>
      <c r="Q81" s="269"/>
      <c r="R81" s="269"/>
      <c r="S81" s="269"/>
      <c r="T81" s="195"/>
      <c r="U81" s="269"/>
      <c r="V81" s="298"/>
      <c r="X81" s="183">
        <v>28</v>
      </c>
      <c r="Y81" s="470">
        <v>65</v>
      </c>
      <c r="Z81" s="1" t="str">
        <f>'Adressen Daten 25'!F30&amp;" "&amp;'Adressen Daten 25'!G30</f>
        <v>SVD Diepoldsau-Schmitter (NLA)</v>
      </c>
      <c r="AA81" s="1" t="str">
        <f>'Adressen Daten 25'!I30</f>
        <v>Lorena</v>
      </c>
      <c r="AB81" s="1" t="str">
        <f>'Adressen Daten 25'!J30</f>
        <v>Lipp</v>
      </c>
      <c r="AC81" s="1" t="str">
        <f>IF('Adressen Daten 25'!K30=0," ",'Adressen Daten 25'!K30)</f>
        <v>Unterdorfstr 47</v>
      </c>
      <c r="AD81" s="1">
        <f>IF('Adressen Daten 25'!L30=0," ",'Adressen Daten 25'!L30)</f>
        <v>9443</v>
      </c>
      <c r="AE81" s="1" t="str">
        <f>IF('Adressen Daten 25'!M30=0," ",'Adressen Daten 25'!M30)</f>
        <v>Widnau</v>
      </c>
      <c r="AF81" s="1" t="str">
        <f>IF('Adressen Daten 25'!N30=0," ",'Adressen Daten 25'!N30)</f>
        <v xml:space="preserve"> </v>
      </c>
      <c r="AG81" s="1" t="str">
        <f>'Adressen Daten 25'!O30</f>
        <v>076 573 09 99</v>
      </c>
      <c r="AH81" s="1" t="str">
        <f>'Adressen Daten 25'!P30</f>
        <v>spiko@faustball-svd.clubdesk.com</v>
      </c>
      <c r="AI81" s="679">
        <v>28</v>
      </c>
      <c r="AJ81" s="677"/>
      <c r="AK81" s="677"/>
    </row>
    <row r="82" spans="2:37" ht="21">
      <c r="B82" s="483"/>
      <c r="C82" s="529" t="s">
        <v>332</v>
      </c>
      <c r="D82" s="530" t="s">
        <v>333</v>
      </c>
      <c r="E82" s="530" t="s">
        <v>334</v>
      </c>
      <c r="F82" s="484"/>
      <c r="G82" s="484"/>
      <c r="H82" s="1072" t="s">
        <v>335</v>
      </c>
      <c r="I82" s="1073"/>
      <c r="J82" s="373"/>
      <c r="K82" s="480" t="s">
        <v>336</v>
      </c>
      <c r="L82" s="1078" t="s">
        <v>337</v>
      </c>
      <c r="M82" s="1078"/>
      <c r="N82" s="1078"/>
      <c r="O82" s="480" t="s">
        <v>338</v>
      </c>
      <c r="P82" s="480" t="s">
        <v>0</v>
      </c>
      <c r="Q82" s="480" t="s">
        <v>6</v>
      </c>
      <c r="R82" s="485" t="s">
        <v>341</v>
      </c>
      <c r="S82" s="299" t="s">
        <v>343</v>
      </c>
      <c r="T82" s="486"/>
      <c r="U82" s="373" t="s">
        <v>339</v>
      </c>
      <c r="V82" s="487" t="s">
        <v>340</v>
      </c>
      <c r="X82" s="183">
        <v>29</v>
      </c>
      <c r="Y82" s="470">
        <v>66</v>
      </c>
      <c r="Z82" s="1" t="str">
        <f>'Adressen Daten 25'!F31&amp;" "&amp;'Adressen Daten 25'!G31</f>
        <v>FG Elgg-Ettenhausen 1 ( NLA )</v>
      </c>
      <c r="AA82" s="1" t="str">
        <f>'Adressen Daten 25'!I31</f>
        <v>Markus</v>
      </c>
      <c r="AB82" s="1" t="str">
        <f>'Adressen Daten 25'!J31</f>
        <v>Fehr</v>
      </c>
      <c r="AC82" s="1" t="str">
        <f>IF('Adressen Daten 25'!K31=0," ",'Adressen Daten 25'!K31)</f>
        <v>Hintergasse 3a</v>
      </c>
      <c r="AD82" s="1">
        <f>IF('Adressen Daten 25'!L31=0," ",'Adressen Daten 25'!L31)</f>
        <v>8353</v>
      </c>
      <c r="AE82" s="1" t="str">
        <f>IF('Adressen Daten 25'!M31=0," ",'Adressen Daten 25'!M31)</f>
        <v>Elgg</v>
      </c>
      <c r="AF82" s="1" t="str">
        <f>IF('Adressen Daten 25'!N31=0," ",'Adressen Daten 25'!N31)</f>
        <v xml:space="preserve"> </v>
      </c>
      <c r="AG82" s="1" t="str">
        <f>'Adressen Daten 25'!O31</f>
        <v>078 613 39 28</v>
      </c>
      <c r="AH82" s="1" t="str">
        <f>'Adressen Daten 25'!P31</f>
        <v>fehr.markus@bluewin.ch</v>
      </c>
      <c r="AI82" s="679">
        <v>29</v>
      </c>
      <c r="AJ82" s="677"/>
      <c r="AK82" s="677"/>
    </row>
    <row r="83" spans="2:37" ht="15" customHeight="1">
      <c r="B83" s="716">
        <v>31</v>
      </c>
      <c r="C83" s="413"/>
      <c r="D83" s="472"/>
      <c r="E83" s="491"/>
      <c r="F83" s="473">
        <v>64</v>
      </c>
      <c r="G83" s="473"/>
      <c r="H83" s="1062" t="str">
        <f>IF($F83=0,"",VLOOKUP($F83,$Y$17:$Z$94,2,0))</f>
        <v>STV Affeltrangen  ( NLA )</v>
      </c>
      <c r="I83" s="1101"/>
      <c r="J83" s="356"/>
      <c r="K83" s="671" t="str">
        <f>IF($G83=0,"",VLOOKUP($G83,$Y$17:$Z$94,2,0))</f>
        <v/>
      </c>
      <c r="L83" s="681"/>
      <c r="M83" s="388"/>
      <c r="N83" s="388"/>
      <c r="O83" s="474"/>
      <c r="P83" s="475"/>
      <c r="Q83" s="488"/>
      <c r="R83" s="488"/>
      <c r="S83" s="476"/>
      <c r="T83" s="489"/>
      <c r="U83" s="478" t="str">
        <f>IF(T83=0,"",VLOOKUP(T83,Schiri_25!$A$2:$L$129,2,0)&amp;"  "&amp;VLOOKUP(T83,Schiri_25!$A$2:$L$129,3,0))</f>
        <v/>
      </c>
      <c r="V83" s="490"/>
      <c r="X83" s="183">
        <v>30</v>
      </c>
      <c r="Y83" s="470">
        <v>67</v>
      </c>
      <c r="Z83" s="1" t="str">
        <f>'Adressen Daten 25'!F32&amp;" "&amp;'Adressen Daten 25'!G32</f>
        <v>FG Fricktal ( NLA  )</v>
      </c>
      <c r="AA83" s="1" t="str">
        <f>'Adressen Daten 25'!I32</f>
        <v>Patrick</v>
      </c>
      <c r="AB83" s="1" t="str">
        <f>'Adressen Daten 25'!J32</f>
        <v>Hochreuter</v>
      </c>
      <c r="AC83" s="1" t="str">
        <f>IF('Adressen Daten 25'!K32=0," ",'Adressen Daten 25'!K32)</f>
        <v>Scheuerackerweg 16</v>
      </c>
      <c r="AD83" s="1">
        <f>IF('Adressen Daten 25'!L32=0," ",'Adressen Daten 25'!L32)</f>
        <v>5223</v>
      </c>
      <c r="AE83" s="1" t="str">
        <f>IF('Adressen Daten 25'!M32=0," ",'Adressen Daten 25'!M32)</f>
        <v>Riniken</v>
      </c>
      <c r="AF83" s="1" t="str">
        <f>IF('Adressen Daten 25'!N32=0," ",'Adressen Daten 25'!N32)</f>
        <v xml:space="preserve"> </v>
      </c>
      <c r="AG83" s="1" t="str">
        <f>'Adressen Daten 25'!O32</f>
        <v>079 238 91 30</v>
      </c>
      <c r="AH83" s="1" t="str">
        <f>'Adressen Daten 25'!P32</f>
        <v>info@fgfricktal.ch</v>
      </c>
      <c r="AI83" s="679">
        <v>30</v>
      </c>
      <c r="AJ83" s="677"/>
      <c r="AK83" s="677"/>
    </row>
    <row r="84" spans="2:37" ht="15" customHeight="1">
      <c r="B84" s="716"/>
      <c r="C84" s="413"/>
      <c r="D84" s="491"/>
      <c r="E84" s="491"/>
      <c r="F84" s="473"/>
      <c r="G84" s="473"/>
      <c r="H84" s="1062"/>
      <c r="I84" s="1063"/>
      <c r="J84" s="517"/>
      <c r="K84" s="516"/>
      <c r="L84" s="388"/>
      <c r="M84" s="388"/>
      <c r="N84" s="388"/>
      <c r="O84" s="474"/>
      <c r="P84" s="475"/>
      <c r="Q84" s="443"/>
      <c r="R84" s="443"/>
      <c r="S84" s="476"/>
      <c r="T84" s="489"/>
      <c r="U84" s="478" t="str">
        <f>IF(T84=0,"",VLOOKUP(T84,Schiri_25!$A$2:$L$129,2,0)&amp;"  "&amp;VLOOKUP(T84,Schiri_25!$A$2:$L$129,3,0))</f>
        <v/>
      </c>
      <c r="V84" s="490"/>
      <c r="X84" s="183">
        <v>31</v>
      </c>
      <c r="Y84" s="470">
        <v>68</v>
      </c>
      <c r="Z84" s="1" t="str">
        <f>'Adressen Daten 25'!F33&amp;" "&amp;'Adressen Daten 25'!G33</f>
        <v>STV Oberentfelden   ( NLA )</v>
      </c>
      <c r="AA84" s="1" t="str">
        <f>'Adressen Daten 25'!I33</f>
        <v>Christian</v>
      </c>
      <c r="AB84" s="1" t="str">
        <f>'Adressen Daten 25'!J33</f>
        <v>Suter</v>
      </c>
      <c r="AC84" s="1" t="str">
        <f>IF('Adressen Daten 25'!K33=0," ",'Adressen Daten 25'!K33)</f>
        <v>Aeppenhaldenstr 3b</v>
      </c>
      <c r="AD84" s="1">
        <f>IF('Adressen Daten 25'!L33=0," ",'Adressen Daten 25'!L33)</f>
        <v>4800</v>
      </c>
      <c r="AE84" s="1" t="str">
        <f>IF('Adressen Daten 25'!M33=0," ",'Adressen Daten 25'!M33)</f>
        <v>Zofingen</v>
      </c>
      <c r="AF84" s="1" t="str">
        <f>IF('Adressen Daten 25'!N33=0," ",'Adressen Daten 25'!N33)</f>
        <v xml:space="preserve"> </v>
      </c>
      <c r="AG84" s="1" t="str">
        <f>'Adressen Daten 25'!O33</f>
        <v>079 476 04 32</v>
      </c>
      <c r="AH84" s="1" t="str">
        <f>'Adressen Daten 25'!P33</f>
        <v>christian.suter@faustballcenter.ch</v>
      </c>
      <c r="AI84" s="679">
        <v>31</v>
      </c>
      <c r="AJ84" s="677"/>
      <c r="AK84" s="677"/>
    </row>
    <row r="85" spans="2:37" ht="15" customHeight="1" thickBot="1">
      <c r="B85" s="548"/>
      <c r="C85" s="549"/>
      <c r="D85" s="531"/>
      <c r="E85" s="544"/>
      <c r="F85" s="532"/>
      <c r="G85" s="532"/>
      <c r="H85" s="1097"/>
      <c r="I85" s="1098"/>
      <c r="J85" s="533"/>
      <c r="K85" s="534"/>
      <c r="L85" s="535"/>
      <c r="M85" s="535"/>
      <c r="N85" s="535"/>
      <c r="O85" s="536"/>
      <c r="P85" s="537"/>
      <c r="Q85" s="538"/>
      <c r="R85" s="538"/>
      <c r="S85" s="539"/>
      <c r="T85" s="545"/>
      <c r="U85" s="676" t="str">
        <f>IF(T85=0,"",VLOOKUP(T85,Schiri_25!$A$2:$L$129,2,0)&amp;"  "&amp;VLOOKUP(T85,Schiri_25!$A$2:$L$129,3,0))</f>
        <v/>
      </c>
      <c r="V85" s="542"/>
      <c r="W85" s="22"/>
      <c r="X85" s="183">
        <v>32</v>
      </c>
      <c r="Y85" s="470">
        <v>69</v>
      </c>
      <c r="Z85" s="1" t="str">
        <f>'Adressen Daten 25'!F34&amp;" "&amp;'Adressen Daten 25'!G34</f>
        <v>FG Rickenbach-Wilen ( NLA )</v>
      </c>
      <c r="AA85" s="1" t="str">
        <f>'Adressen Daten 25'!I34</f>
        <v>Jonas</v>
      </c>
      <c r="AB85" s="1" t="str">
        <f>'Adressen Daten 25'!J34</f>
        <v>Hess</v>
      </c>
      <c r="AC85" s="1" t="str">
        <f>IF('Adressen Daten 25'!K34=0," ",'Adressen Daten 25'!K34)</f>
        <v xml:space="preserve"> </v>
      </c>
      <c r="AD85" s="1" t="str">
        <f>IF('Adressen Daten 25'!L34=0," ",'Adressen Daten 25'!L34)</f>
        <v xml:space="preserve"> </v>
      </c>
      <c r="AE85" s="1" t="str">
        <f>IF('Adressen Daten 25'!M34=0," ",'Adressen Daten 25'!M34)</f>
        <v xml:space="preserve"> </v>
      </c>
      <c r="AF85" s="1" t="str">
        <f>IF('Adressen Daten 25'!N34=0," ",'Adressen Daten 25'!N34)</f>
        <v xml:space="preserve"> </v>
      </c>
      <c r="AG85" s="1" t="str">
        <f>'Adressen Daten 25'!O34</f>
        <v>079 900 69 17</v>
      </c>
      <c r="AH85" s="1" t="str">
        <f>'Adressen Daten 25'!P34</f>
        <v>spiko@fgriwi.ch</v>
      </c>
      <c r="AI85" s="679">
        <v>32</v>
      </c>
      <c r="AJ85" s="677"/>
      <c r="AK85" s="677"/>
    </row>
    <row r="86" spans="2:37" ht="15" customHeight="1">
      <c r="B86" s="30"/>
      <c r="C86" s="176"/>
      <c r="D86" s="523"/>
      <c r="E86" s="523"/>
      <c r="F86" s="524"/>
      <c r="G86" s="524"/>
      <c r="H86" s="1099"/>
      <c r="I86" s="1099"/>
      <c r="J86" s="157"/>
      <c r="K86" s="157"/>
      <c r="L86" s="172"/>
      <c r="M86" s="172"/>
      <c r="N86" s="172"/>
      <c r="O86" s="525"/>
      <c r="P86" s="526"/>
      <c r="Q86" s="179"/>
      <c r="R86" s="179"/>
      <c r="S86" s="522"/>
      <c r="T86" s="521"/>
      <c r="U86" s="527"/>
      <c r="V86" s="524">
        <f>SUM(V83:V85)</f>
        <v>0</v>
      </c>
      <c r="W86" s="22"/>
      <c r="X86" s="183">
        <v>33</v>
      </c>
      <c r="Y86" s="470">
        <v>70</v>
      </c>
      <c r="Z86" s="1" t="str">
        <f>'Adressen Daten 25'!F35&amp;" "&amp;'Adressen Daten 25'!G35</f>
        <v>SUS Widnau   ( NLA )</v>
      </c>
      <c r="AA86" s="1" t="str">
        <f>'Adressen Daten 25'!I35</f>
        <v>Remo</v>
      </c>
      <c r="AB86" s="1" t="str">
        <f>'Adressen Daten 25'!J35</f>
        <v>Pinchera</v>
      </c>
      <c r="AC86" s="1" t="str">
        <f>IF('Adressen Daten 25'!K35=0," ",'Adressen Daten 25'!K35)</f>
        <v xml:space="preserve"> </v>
      </c>
      <c r="AD86" s="1" t="str">
        <f>IF('Adressen Daten 25'!L35=0," ",'Adressen Daten 25'!L35)</f>
        <v xml:space="preserve"> </v>
      </c>
      <c r="AE86" s="1" t="str">
        <f>IF('Adressen Daten 25'!M35=0," ",'Adressen Daten 25'!M35)</f>
        <v xml:space="preserve"> </v>
      </c>
      <c r="AF86" s="1" t="str">
        <f>IF('Adressen Daten 25'!N35=0," ",'Adressen Daten 25'!N35)</f>
        <v xml:space="preserve"> </v>
      </c>
      <c r="AG86" s="1" t="str">
        <f>'Adressen Daten 25'!O35</f>
        <v>079 404 47 21</v>
      </c>
      <c r="AH86" s="1" t="str">
        <f>'Adressen Daten 25'!P35</f>
        <v>remo.pinchera@faustball-widnau.ch</v>
      </c>
      <c r="AI86" s="679">
        <v>33</v>
      </c>
      <c r="AJ86" s="677"/>
      <c r="AK86" s="677"/>
    </row>
    <row r="87" spans="2:37" ht="15" customHeight="1" thickBot="1">
      <c r="B87" s="30"/>
      <c r="C87" s="176"/>
      <c r="D87" s="528"/>
      <c r="E87" s="523"/>
      <c r="F87" s="524"/>
      <c r="G87" s="524"/>
      <c r="H87" s="1099" t="str">
        <f>IF($F87=0,"",VLOOKUP($F87,$Y$17:$Z$94,2,0))</f>
        <v/>
      </c>
      <c r="I87" s="1099"/>
      <c r="J87" s="157"/>
      <c r="K87" s="157" t="str">
        <f>IF($G87=0,"",VLOOKUP($G87,$Y$17:$Z$94,2,0))</f>
        <v/>
      </c>
      <c r="L87" s="172"/>
      <c r="M87" s="172"/>
      <c r="N87" s="172"/>
      <c r="O87" s="525"/>
      <c r="P87" s="526"/>
      <c r="Q87" s="179"/>
      <c r="R87" s="179"/>
      <c r="S87" s="522"/>
      <c r="T87" s="521"/>
      <c r="U87" s="527" t="str">
        <f>IF(T87=0,"",VLOOKUP(T87,Schiri_25!$A$2:$L$129,2,0)&amp;"  "&amp;VLOOKUP(T87,Schiri_25!$A$2:$L$129,3,0))</f>
        <v/>
      </c>
      <c r="V87" s="524"/>
      <c r="W87" s="22"/>
      <c r="X87" s="183">
        <v>34</v>
      </c>
      <c r="Y87" s="470">
        <v>71</v>
      </c>
      <c r="Z87" s="1" t="str">
        <f>'Adressen Daten 25'!F36&amp;" "&amp;'Adressen Daten 25'!G36</f>
        <v>STV Wigoltingen   ( NLA )</v>
      </c>
      <c r="AA87" s="1" t="str">
        <f>'Adressen Daten 25'!I36</f>
        <v>David</v>
      </c>
      <c r="AB87" s="1" t="str">
        <f>'Adressen Daten 25'!J36</f>
        <v>Berger</v>
      </c>
      <c r="AC87" s="1" t="str">
        <f>IF('Adressen Daten 25'!K36=0," ",'Adressen Daten 25'!K36)</f>
        <v>Eggrainstr 25</v>
      </c>
      <c r="AD87" s="1">
        <f>IF('Adressen Daten 25'!L36=0," ",'Adressen Daten 25'!L36)</f>
        <v>8556</v>
      </c>
      <c r="AE87" s="1" t="str">
        <f>IF('Adressen Daten 25'!M36=0," ",'Adressen Daten 25'!M36)</f>
        <v>Wigoltingen</v>
      </c>
      <c r="AF87" s="1" t="str">
        <f>IF('Adressen Daten 25'!N36=0," ",'Adressen Daten 25'!N36)</f>
        <v>052 763 10 81</v>
      </c>
      <c r="AG87" s="1" t="str">
        <f>'Adressen Daten 25'!O36</f>
        <v>079 388 63 87</v>
      </c>
      <c r="AH87" s="1" t="str">
        <f>'Adressen Daten 25'!P36</f>
        <v>d_berger@bluewin.ch</v>
      </c>
      <c r="AI87" s="679">
        <v>34</v>
      </c>
      <c r="AJ87" s="677"/>
      <c r="AK87" s="677"/>
    </row>
    <row r="88" spans="2:37" ht="15" customHeight="1" thickBot="1">
      <c r="B88" s="378"/>
      <c r="C88" s="518" t="str">
        <f>VLOOKUP($C$89,$Y$8:$AC$14,5,0)</f>
        <v>Ersatz CH CUP</v>
      </c>
      <c r="D88" s="519"/>
      <c r="E88" s="519"/>
      <c r="F88" s="520"/>
      <c r="G88" s="294"/>
      <c r="H88" s="1070">
        <f>VLOOKUP($C$89,$Y$8:$AC$14,2,0)</f>
        <v>45927</v>
      </c>
      <c r="I88" s="1071"/>
      <c r="J88" s="355"/>
      <c r="K88" s="317"/>
      <c r="L88" s="295"/>
      <c r="M88" s="295"/>
      <c r="N88" s="295"/>
      <c r="O88" s="295"/>
      <c r="P88" s="295"/>
      <c r="Q88" s="295"/>
      <c r="R88" s="295"/>
      <c r="S88" s="295"/>
      <c r="T88" s="296"/>
      <c r="U88" s="295"/>
      <c r="V88" s="482"/>
      <c r="W88" s="22"/>
      <c r="X88" s="183">
        <v>35</v>
      </c>
      <c r="Y88" s="470">
        <v>72</v>
      </c>
      <c r="Z88" s="1" t="str">
        <f>'Adressen Daten 25'!F38&amp;" "&amp;'Adressen Daten 25'!G38</f>
        <v xml:space="preserve"> </v>
      </c>
      <c r="AE88" s="1"/>
      <c r="AI88" s="679"/>
      <c r="AJ88" s="677"/>
      <c r="AK88" s="677"/>
    </row>
    <row r="89" spans="2:37" ht="15" customHeight="1">
      <c r="B89" s="379"/>
      <c r="C89" s="195">
        <v>7</v>
      </c>
      <c r="D89" s="269"/>
      <c r="E89" s="269"/>
      <c r="F89" s="268"/>
      <c r="G89" s="268"/>
      <c r="H89" s="268"/>
      <c r="I89" s="269"/>
      <c r="J89" s="269"/>
      <c r="K89" s="297"/>
      <c r="L89" s="269"/>
      <c r="M89" s="269"/>
      <c r="N89" s="269"/>
      <c r="O89" s="269"/>
      <c r="P89" s="269"/>
      <c r="Q89" s="269"/>
      <c r="R89" s="269"/>
      <c r="S89" s="269"/>
      <c r="T89" s="195"/>
      <c r="U89" s="269"/>
      <c r="V89" s="298"/>
      <c r="W89" s="22"/>
      <c r="X89" s="183">
        <v>36</v>
      </c>
      <c r="Y89" s="470">
        <v>73</v>
      </c>
      <c r="AE89" s="1"/>
      <c r="AH89" s="835" t="s">
        <v>1313</v>
      </c>
      <c r="AI89" s="679"/>
      <c r="AJ89" s="677"/>
      <c r="AK89" s="677"/>
    </row>
    <row r="90" spans="2:37" ht="21">
      <c r="B90" s="483"/>
      <c r="C90" s="529" t="s">
        <v>332</v>
      </c>
      <c r="D90" s="530" t="s">
        <v>333</v>
      </c>
      <c r="E90" s="530" t="s">
        <v>334</v>
      </c>
      <c r="F90" s="484"/>
      <c r="G90" s="484"/>
      <c r="H90" s="485" t="s">
        <v>335</v>
      </c>
      <c r="I90" s="373"/>
      <c r="J90" s="373"/>
      <c r="K90" s="480" t="s">
        <v>336</v>
      </c>
      <c r="L90" s="485" t="s">
        <v>337</v>
      </c>
      <c r="M90" s="546"/>
      <c r="N90" s="373"/>
      <c r="O90" s="480" t="s">
        <v>338</v>
      </c>
      <c r="P90" s="480" t="s">
        <v>0</v>
      </c>
      <c r="Q90" s="480" t="s">
        <v>6</v>
      </c>
      <c r="R90" s="485" t="s">
        <v>341</v>
      </c>
      <c r="S90" s="299" t="s">
        <v>343</v>
      </c>
      <c r="T90" s="486"/>
      <c r="U90" s="373" t="s">
        <v>339</v>
      </c>
      <c r="V90" s="487" t="s">
        <v>340</v>
      </c>
      <c r="W90" s="22"/>
      <c r="X90" s="183">
        <v>37</v>
      </c>
      <c r="Y90" s="470">
        <v>74</v>
      </c>
      <c r="AE90" s="1"/>
      <c r="AI90" s="679"/>
      <c r="AJ90" s="677"/>
      <c r="AK90" s="677"/>
    </row>
    <row r="91" spans="2:37" ht="15" customHeight="1">
      <c r="B91" s="716"/>
      <c r="C91" s="413"/>
      <c r="D91" s="472"/>
      <c r="E91" s="491"/>
      <c r="F91" s="473"/>
      <c r="G91" s="473"/>
      <c r="H91" s="1062">
        <f>'CH Cup Tableau 2025'!P52</f>
        <v>0</v>
      </c>
      <c r="I91" s="1063"/>
      <c r="J91" s="356"/>
      <c r="K91" s="1102">
        <f>'CH Cup Tableau 2025'!P54</f>
        <v>0</v>
      </c>
      <c r="L91" s="1103"/>
      <c r="M91" s="388"/>
      <c r="N91" s="388"/>
      <c r="O91" s="474"/>
      <c r="P91" s="475"/>
      <c r="Q91" s="488"/>
      <c r="R91" s="488"/>
      <c r="S91" s="476"/>
      <c r="T91" s="489"/>
      <c r="U91" s="478" t="str">
        <f>IF(T91=0,"",VLOOKUP(T91,Schiri_25!$A$2:$L$129,2,0)&amp;"  "&amp;VLOOKUP(T91,Schiri_25!$A$2:$L$129,3,0))</f>
        <v/>
      </c>
      <c r="V91" s="490"/>
      <c r="W91" s="22"/>
      <c r="X91" s="183">
        <v>38</v>
      </c>
      <c r="Y91" s="470">
        <v>75</v>
      </c>
      <c r="AE91" s="1"/>
      <c r="AI91" s="679"/>
      <c r="AJ91" s="677"/>
      <c r="AK91" s="677"/>
    </row>
    <row r="92" spans="2:37" ht="15" customHeight="1" thickBot="1">
      <c r="B92" s="548"/>
      <c r="C92" s="549"/>
      <c r="D92" s="544"/>
      <c r="E92" s="544"/>
      <c r="F92" s="532"/>
      <c r="G92" s="532"/>
      <c r="H92" s="1097"/>
      <c r="I92" s="1098"/>
      <c r="J92" s="533"/>
      <c r="K92" s="534"/>
      <c r="L92" s="535"/>
      <c r="M92" s="535"/>
      <c r="N92" s="535"/>
      <c r="O92" s="536"/>
      <c r="P92" s="537"/>
      <c r="Q92" s="538"/>
      <c r="R92" s="538"/>
      <c r="S92" s="539"/>
      <c r="T92" s="545"/>
      <c r="U92" s="541"/>
      <c r="V92" s="542"/>
      <c r="W92" s="22"/>
      <c r="X92" s="183">
        <v>39</v>
      </c>
      <c r="Y92" s="470">
        <v>76</v>
      </c>
      <c r="AE92" s="1"/>
      <c r="AJ92" s="677"/>
      <c r="AK92" s="677"/>
    </row>
    <row r="93" spans="2:37" ht="15" customHeight="1">
      <c r="B93" s="30"/>
      <c r="C93" s="176"/>
      <c r="D93" s="528"/>
      <c r="E93" s="523"/>
      <c r="F93" s="524"/>
      <c r="G93" s="524"/>
      <c r="H93" s="1099"/>
      <c r="I93" s="1099"/>
      <c r="J93" s="157"/>
      <c r="K93" s="1099"/>
      <c r="L93" s="1099"/>
      <c r="M93" s="172"/>
      <c r="N93" s="172"/>
      <c r="O93" s="525"/>
      <c r="P93" s="526"/>
      <c r="Q93" s="547"/>
      <c r="R93" s="547"/>
      <c r="S93" s="522"/>
      <c r="T93" s="543"/>
      <c r="V93" s="524"/>
      <c r="W93" s="22"/>
      <c r="X93" s="183">
        <v>40</v>
      </c>
      <c r="Y93" s="470">
        <v>77</v>
      </c>
      <c r="AE93" s="1"/>
    </row>
    <row r="94" spans="2:37" ht="15" customHeight="1">
      <c r="B94" s="30"/>
      <c r="C94" s="176"/>
      <c r="D94" s="523"/>
      <c r="E94" s="523"/>
      <c r="F94" s="524"/>
      <c r="G94" s="524"/>
      <c r="H94" s="1099"/>
      <c r="I94" s="1099"/>
      <c r="J94" s="157"/>
      <c r="K94" s="157"/>
      <c r="L94" s="172"/>
      <c r="M94" s="172"/>
      <c r="N94" s="172"/>
      <c r="O94" s="525"/>
      <c r="P94" s="526"/>
      <c r="Q94" s="179"/>
      <c r="R94" s="179"/>
      <c r="S94" s="522"/>
      <c r="T94" s="543"/>
      <c r="U94" s="670" t="s">
        <v>824</v>
      </c>
      <c r="V94" s="524">
        <f>V22+V44+V58+V68+V78++V86</f>
        <v>324</v>
      </c>
      <c r="W94" s="22"/>
      <c r="X94" s="183">
        <v>41</v>
      </c>
      <c r="Y94" s="470">
        <v>78</v>
      </c>
      <c r="AE94" s="1"/>
    </row>
    <row r="95" spans="2:37" ht="15" customHeight="1">
      <c r="B95" s="30"/>
      <c r="C95" s="176"/>
      <c r="D95" s="528"/>
      <c r="E95" s="523"/>
      <c r="F95" s="524"/>
      <c r="G95" s="524"/>
      <c r="H95" s="1099"/>
      <c r="I95" s="1099"/>
      <c r="J95" s="157"/>
      <c r="K95" s="157"/>
      <c r="L95" s="172"/>
      <c r="M95" s="172"/>
      <c r="N95" s="172"/>
      <c r="O95" s="525"/>
      <c r="P95" s="526"/>
      <c r="Q95" s="179"/>
      <c r="R95" s="179"/>
      <c r="S95" s="522"/>
      <c r="T95" s="543"/>
      <c r="U95" s="527"/>
      <c r="V95" s="524"/>
      <c r="W95" s="22"/>
      <c r="X95" s="183">
        <v>42</v>
      </c>
      <c r="Y95" s="470"/>
      <c r="AE95" s="1"/>
    </row>
    <row r="96" spans="2:37" ht="15.5">
      <c r="B96" s="30"/>
      <c r="C96" s="176"/>
      <c r="D96" s="523"/>
      <c r="E96" s="523"/>
      <c r="F96" s="524"/>
      <c r="G96" s="524"/>
      <c r="H96" s="1099"/>
      <c r="I96" s="1099"/>
      <c r="J96" s="157"/>
      <c r="K96" s="157"/>
      <c r="L96" s="172"/>
      <c r="M96" s="172"/>
      <c r="N96" s="172"/>
      <c r="O96" s="525"/>
      <c r="P96" s="526"/>
      <c r="Q96" s="179"/>
      <c r="R96" s="179"/>
      <c r="S96" s="522"/>
      <c r="T96" s="521"/>
      <c r="U96" s="527"/>
      <c r="V96" s="524"/>
      <c r="W96" s="22"/>
      <c r="X96" s="183">
        <v>43</v>
      </c>
      <c r="Y96" s="470"/>
      <c r="AE96" s="1"/>
    </row>
    <row r="97" spans="2:31" ht="15.5">
      <c r="B97" s="30"/>
      <c r="C97" s="176"/>
      <c r="D97" s="528"/>
      <c r="E97" s="523"/>
      <c r="F97" s="524"/>
      <c r="G97" s="524"/>
      <c r="H97" s="1099"/>
      <c r="I97" s="1099"/>
      <c r="J97" s="157"/>
      <c r="K97" s="157"/>
      <c r="L97" s="172"/>
      <c r="M97" s="172"/>
      <c r="N97" s="172"/>
      <c r="O97" s="525"/>
      <c r="P97" s="526"/>
      <c r="Q97" s="179"/>
      <c r="R97" s="179"/>
      <c r="S97" s="522"/>
      <c r="T97" s="521"/>
      <c r="U97" s="527"/>
      <c r="V97" s="524"/>
      <c r="W97" s="22"/>
      <c r="X97" s="183">
        <v>44</v>
      </c>
      <c r="Y97" s="470"/>
      <c r="AE97" s="1"/>
    </row>
    <row r="98" spans="2:31">
      <c r="W98" s="22"/>
      <c r="X98" s="183">
        <v>45</v>
      </c>
      <c r="Y98" s="470"/>
      <c r="AE98" s="1"/>
    </row>
    <row r="99" spans="2:31">
      <c r="W99" s="22"/>
      <c r="X99" s="183">
        <v>46</v>
      </c>
      <c r="Y99" s="470"/>
      <c r="AE99" s="1"/>
    </row>
    <row r="100" spans="2:31">
      <c r="W100" s="22"/>
      <c r="X100" s="183">
        <v>47</v>
      </c>
      <c r="Y100" s="470"/>
      <c r="AE100" s="1"/>
    </row>
    <row r="101" spans="2:31" ht="15.5">
      <c r="E101" s="383"/>
      <c r="I101" s="170" t="s">
        <v>395</v>
      </c>
      <c r="J101" s="170"/>
      <c r="N101" s="1" t="s">
        <v>806</v>
      </c>
      <c r="O101" s="1" t="s">
        <v>807</v>
      </c>
      <c r="W101" s="22"/>
      <c r="X101" s="183">
        <v>48</v>
      </c>
      <c r="Y101" s="470"/>
      <c r="AE101" s="1"/>
    </row>
    <row r="102" spans="2:31">
      <c r="N102" s="1" t="s">
        <v>808</v>
      </c>
      <c r="O102" s="1" t="s">
        <v>809</v>
      </c>
      <c r="W102" s="22"/>
      <c r="X102" s="183">
        <v>49</v>
      </c>
      <c r="Y102" s="470"/>
      <c r="AE102" s="1"/>
    </row>
    <row r="103" spans="2:31" ht="15.5">
      <c r="E103" s="384"/>
      <c r="I103" s="170" t="s">
        <v>415</v>
      </c>
      <c r="J103" s="170"/>
      <c r="N103" s="1" t="s">
        <v>810</v>
      </c>
      <c r="O103" s="1" t="s">
        <v>811</v>
      </c>
      <c r="W103" s="22"/>
      <c r="X103" s="183">
        <v>50</v>
      </c>
      <c r="Y103" s="470"/>
      <c r="AE103" s="1"/>
    </row>
    <row r="104" spans="2:31">
      <c r="W104" s="22"/>
      <c r="Y104" s="470"/>
      <c r="Z104" s="383"/>
    </row>
    <row r="105" spans="2:31" ht="15.5">
      <c r="E105" s="385"/>
      <c r="I105" s="170" t="s">
        <v>465</v>
      </c>
      <c r="J105" s="170"/>
      <c r="W105" s="22"/>
      <c r="X105" s="320"/>
      <c r="Z105"/>
    </row>
    <row r="106" spans="2:31">
      <c r="W106" s="22"/>
      <c r="X106" s="320"/>
      <c r="Z106"/>
    </row>
    <row r="107" spans="2:31">
      <c r="W107" s="22"/>
      <c r="X107" s="320"/>
      <c r="Z107"/>
    </row>
    <row r="108" spans="2:31">
      <c r="W108" s="22"/>
      <c r="X108" s="320"/>
      <c r="Z108"/>
    </row>
    <row r="109" spans="2:31">
      <c r="W109" s="22"/>
      <c r="X109" s="320"/>
      <c r="Z109"/>
    </row>
  </sheetData>
  <mergeCells count="106">
    <mergeCell ref="H56:I56"/>
    <mergeCell ref="H96:I96"/>
    <mergeCell ref="H97:I97"/>
    <mergeCell ref="H91:I91"/>
    <mergeCell ref="K91:L91"/>
    <mergeCell ref="H92:I92"/>
    <mergeCell ref="H93:I93"/>
    <mergeCell ref="K93:L93"/>
    <mergeCell ref="H94:I94"/>
    <mergeCell ref="H85:I85"/>
    <mergeCell ref="H86:I86"/>
    <mergeCell ref="H87:I87"/>
    <mergeCell ref="H88:I88"/>
    <mergeCell ref="H68:I68"/>
    <mergeCell ref="C80:F80"/>
    <mergeCell ref="L82:N82"/>
    <mergeCell ref="H84:I84"/>
    <mergeCell ref="H95:I95"/>
    <mergeCell ref="C61:F61"/>
    <mergeCell ref="L63:N63"/>
    <mergeCell ref="H65:I65"/>
    <mergeCell ref="H67:I67"/>
    <mergeCell ref="H79:I79"/>
    <mergeCell ref="H80:I80"/>
    <mergeCell ref="H82:I82"/>
    <mergeCell ref="H83:I83"/>
    <mergeCell ref="H74:I74"/>
    <mergeCell ref="H75:I75"/>
    <mergeCell ref="H76:I76"/>
    <mergeCell ref="H77:I77"/>
    <mergeCell ref="H78:I78"/>
    <mergeCell ref="C70:F70"/>
    <mergeCell ref="H70:I70"/>
    <mergeCell ref="H72:I72"/>
    <mergeCell ref="L72:N72"/>
    <mergeCell ref="H73:I73"/>
    <mergeCell ref="Z3:AC3"/>
    <mergeCell ref="AA8:AB8"/>
    <mergeCell ref="AA12:AB12"/>
    <mergeCell ref="AA11:AB11"/>
    <mergeCell ref="AA10:AB10"/>
    <mergeCell ref="AA9:AB9"/>
    <mergeCell ref="AA47:AB52"/>
    <mergeCell ref="H66:I66"/>
    <mergeCell ref="H57:I57"/>
    <mergeCell ref="H58:I58"/>
    <mergeCell ref="H59:I59"/>
    <mergeCell ref="H60:I60"/>
    <mergeCell ref="H61:I61"/>
    <mergeCell ref="H63:I63"/>
    <mergeCell ref="H64:I64"/>
    <mergeCell ref="H51:I51"/>
    <mergeCell ref="H52:I52"/>
    <mergeCell ref="H53:I53"/>
    <mergeCell ref="H54:I54"/>
    <mergeCell ref="H55:I55"/>
    <mergeCell ref="H5:I5"/>
    <mergeCell ref="H14:I14"/>
    <mergeCell ref="H13:I13"/>
    <mergeCell ref="H11:I11"/>
    <mergeCell ref="C47:F47"/>
    <mergeCell ref="H47:I47"/>
    <mergeCell ref="H49:I49"/>
    <mergeCell ref="L49:N49"/>
    <mergeCell ref="H50:I50"/>
    <mergeCell ref="C1:I1"/>
    <mergeCell ref="C3:F3"/>
    <mergeCell ref="H3:I3"/>
    <mergeCell ref="H19:I19"/>
    <mergeCell ref="H18:I18"/>
    <mergeCell ref="H17:I17"/>
    <mergeCell ref="H16:I16"/>
    <mergeCell ref="H15:I15"/>
    <mergeCell ref="H4:I4"/>
    <mergeCell ref="L27:N27"/>
    <mergeCell ref="L5:N5"/>
    <mergeCell ref="H6:I6"/>
    <mergeCell ref="H8:I8"/>
    <mergeCell ref="H7:I7"/>
    <mergeCell ref="H10:I10"/>
    <mergeCell ref="H9:I9"/>
    <mergeCell ref="H20:I20"/>
    <mergeCell ref="H21:I21"/>
    <mergeCell ref="H12:I12"/>
    <mergeCell ref="H22:I22"/>
    <mergeCell ref="H31:I31"/>
    <mergeCell ref="H32:I32"/>
    <mergeCell ref="C25:F25"/>
    <mergeCell ref="H25:I25"/>
    <mergeCell ref="H27:I27"/>
    <mergeCell ref="H28:I28"/>
    <mergeCell ref="H29:I29"/>
    <mergeCell ref="H30:I30"/>
    <mergeCell ref="H26:I26"/>
    <mergeCell ref="H44:I44"/>
    <mergeCell ref="H43:I43"/>
    <mergeCell ref="H38:I38"/>
    <mergeCell ref="H39:I39"/>
    <mergeCell ref="H40:I40"/>
    <mergeCell ref="H41:I41"/>
    <mergeCell ref="H42:I42"/>
    <mergeCell ref="H33:I33"/>
    <mergeCell ref="H34:I34"/>
    <mergeCell ref="H35:I35"/>
    <mergeCell ref="H36:I36"/>
    <mergeCell ref="H37:I37"/>
  </mergeCells>
  <phoneticPr fontId="52" type="noConversion"/>
  <hyperlinks>
    <hyperlink ref="AH89" r:id="rId1" display="mailto:remo.pinchera@faustball-widnau.ch" xr:uid="{003C71B8-0628-4DD2-B553-E2964514207A}"/>
  </hyperlinks>
  <printOptions horizontalCentered="1" verticalCentered="1"/>
  <pageMargins left="0.19685039370078741" right="0.19685039370078741" top="0.38" bottom="0.28000000000000003" header="0.27559055118110237" footer="0.21"/>
  <pageSetup paperSize="9" scale="69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V u u U k a A R r S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Q K R i Y m e g Y 0 + T M z G N z M P I W 8 E d C 5 I F k n Q x r k 0 p 6 S 0 K N U u J V X X 2 c N G H 8 a 1 0 Y d 6 w Q 4 A U E s D B B Q A A g A I A D l b r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5 W 6 5 S K I p H u A 4 A A A A R A A A A E w A c A E Z v c m 1 1 b G F z L 1 N l Y 3 R p b 2 4 x L m 0 g o h g A K K A U A A A A A A A A A A A A A A A A A A A A A A A A A A A A K 0 5 N L s n M z 1 M I h t C G 1 g B Q S w E C L Q A U A A I A C A A 5 W 6 5 S R o B G t K U A A A D 1 A A A A E g A A A A A A A A A A A A A A A A A A A A A A Q 2 9 u Z m l n L 1 B h Y 2 t h Z 2 U u e G 1 s U E s B A i 0 A F A A C A A g A O V u u U g / K 6 a u k A A A A 6 Q A A A B M A A A A A A A A A A A A A A A A A 8 Q A A A F t D b 2 5 0 Z W 5 0 X 1 R 5 c G V z X S 5 4 b W x Q S w E C L Q A U A A I A C A A 5 W 6 5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1 3 7 z K z + F E O s e E g 3 R f 3 6 H g A A A A A C A A A A A A A Q Z g A A A A E A A C A A A A C N q n Q b s t M Z a 9 c d 8 t r n j g m e s w U 1 Q V n r / I s z R W 7 R A y L t X Q A A A A A O g A A A A A I A A C A A A A C d m 1 G I 2 A b m g X Z I t 2 K G s / A M + 2 n L M i y p f K / t 7 M 2 P B I 3 t c V A A A A D K 7 2 b d u J L g M y r M W L 6 4 0 K z + g v c Y x Y h W B V p S q H B J M e M K r E X w Q + 9 B n J W i C G + 5 w k r w j 5 V 2 9 m u z J K u Q C 0 7 H s R F y z a K H i j v m h n w z g 4 y H y R o 7 5 1 Q Q T U A A A A C l V 6 a 3 3 R 2 p 0 0 A l p 6 i y m L M W 2 H r U + t Y h 3 F K o f 8 h R l 8 m p G + V f s a C O 5 7 W X b P 6 R E D g O Z y P 2 o / q x J z 3 D J F 6 v a G 5 T b 2 p m < / D a t a M a s h u p > 
</file>

<file path=customXml/itemProps1.xml><?xml version="1.0" encoding="utf-8"?>
<ds:datastoreItem xmlns:ds="http://schemas.openxmlformats.org/officeDocument/2006/customXml" ds:itemID="{F603957E-C6D7-4BA5-9C3D-6D432B049B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87</vt:i4>
      </vt:variant>
      <vt:variant>
        <vt:lpstr>Benannte Bereiche</vt:lpstr>
      </vt:variant>
      <vt:variant>
        <vt:i4>39</vt:i4>
      </vt:variant>
    </vt:vector>
  </HeadingPairs>
  <TitlesOfParts>
    <vt:vector size="126" baseType="lpstr">
      <vt:lpstr>Adressen Daten 25</vt:lpstr>
      <vt:lpstr>Schiri_25</vt:lpstr>
      <vt:lpstr>Sieger Vorrunde</vt:lpstr>
      <vt:lpstr>2022_Adressen </vt:lpstr>
      <vt:lpstr>CH Cup Tableau 2025</vt:lpstr>
      <vt:lpstr>Aus_Losung</vt:lpstr>
      <vt:lpstr>Leer</vt:lpstr>
      <vt:lpstr>CH Cup Tableau 2021 (2)</vt:lpstr>
      <vt:lpstr>Eigaben</vt:lpstr>
      <vt:lpstr>Tabelle1</vt:lpstr>
      <vt:lpstr>zusammenfassung_25</vt:lpstr>
      <vt:lpstr>Aufgebot A</vt:lpstr>
      <vt:lpstr>Tabelle2</vt:lpstr>
      <vt:lpstr>Spielbericht A</vt:lpstr>
      <vt:lpstr>Aufgebot B</vt:lpstr>
      <vt:lpstr>Spielbericht B</vt:lpstr>
      <vt:lpstr>Aufgebot C</vt:lpstr>
      <vt:lpstr>Spielbericht C</vt:lpstr>
      <vt:lpstr>Aufgebot D</vt:lpstr>
      <vt:lpstr>Spielbericht D</vt:lpstr>
      <vt:lpstr>Aufgebot E</vt:lpstr>
      <vt:lpstr>Spielbericht E</vt:lpstr>
      <vt:lpstr>Aufgebot F</vt:lpstr>
      <vt:lpstr>Spielbericht F</vt:lpstr>
      <vt:lpstr>Aufgebot 1</vt:lpstr>
      <vt:lpstr>Spielbericht 1</vt:lpstr>
      <vt:lpstr>Aufgebot 2</vt:lpstr>
      <vt:lpstr>Spielbericht 2</vt:lpstr>
      <vt:lpstr>Aufgebot 3</vt:lpstr>
      <vt:lpstr>Spielbericht 3</vt:lpstr>
      <vt:lpstr>Aufgebot 4</vt:lpstr>
      <vt:lpstr>Spielbericht 4</vt:lpstr>
      <vt:lpstr>Aufgebot 5</vt:lpstr>
      <vt:lpstr>Spielbericht 5</vt:lpstr>
      <vt:lpstr>Aufgebot 6</vt:lpstr>
      <vt:lpstr>Spielbericht 6</vt:lpstr>
      <vt:lpstr>Aufgebot 7</vt:lpstr>
      <vt:lpstr>Spielbericht 7</vt:lpstr>
      <vt:lpstr>Aufgebot 8</vt:lpstr>
      <vt:lpstr>Spielbericht 8</vt:lpstr>
      <vt:lpstr>Aufgebot 9</vt:lpstr>
      <vt:lpstr>Spielbericht 9</vt:lpstr>
      <vt:lpstr>Aufgebot 10</vt:lpstr>
      <vt:lpstr>Spielbericht 10</vt:lpstr>
      <vt:lpstr>Aufgebot 11</vt:lpstr>
      <vt:lpstr>Spielbericht 11</vt:lpstr>
      <vt:lpstr>Aufgebot 12</vt:lpstr>
      <vt:lpstr>Spielbericht 12</vt:lpstr>
      <vt:lpstr>Aufgebot 13</vt:lpstr>
      <vt:lpstr>Spielbericht 13</vt:lpstr>
      <vt:lpstr>Aufgebot 14</vt:lpstr>
      <vt:lpstr>Spielbericht 14</vt:lpstr>
      <vt:lpstr>Aufgebot 15</vt:lpstr>
      <vt:lpstr>Spielbericht 15</vt:lpstr>
      <vt:lpstr>Aufgebot 16</vt:lpstr>
      <vt:lpstr>Spielbericht 16</vt:lpstr>
      <vt:lpstr>Aufgebot 17</vt:lpstr>
      <vt:lpstr>Spielbericht 17</vt:lpstr>
      <vt:lpstr>Aufgebot 18</vt:lpstr>
      <vt:lpstr>Spielbericht 18</vt:lpstr>
      <vt:lpstr>Aufgebot 19</vt:lpstr>
      <vt:lpstr>Spielbericht 19</vt:lpstr>
      <vt:lpstr>Aufgebot 20</vt:lpstr>
      <vt:lpstr>Spielbericht 20</vt:lpstr>
      <vt:lpstr>Aufgebot 21</vt:lpstr>
      <vt:lpstr>Spielbericht 21</vt:lpstr>
      <vt:lpstr>Aufgebot 22</vt:lpstr>
      <vt:lpstr>Spielbericht 22</vt:lpstr>
      <vt:lpstr>Aufgebot 23</vt:lpstr>
      <vt:lpstr>Spielbericht 23</vt:lpstr>
      <vt:lpstr>Aufgebot 24</vt:lpstr>
      <vt:lpstr>Spielbericht 24</vt:lpstr>
      <vt:lpstr>Aufgebot 25</vt:lpstr>
      <vt:lpstr>Spielbericht 25</vt:lpstr>
      <vt:lpstr>Aufgebot 26</vt:lpstr>
      <vt:lpstr>Spielbericht 26</vt:lpstr>
      <vt:lpstr>Aufgebot 27</vt:lpstr>
      <vt:lpstr>Spielbericht 27</vt:lpstr>
      <vt:lpstr>Aufgebot 28</vt:lpstr>
      <vt:lpstr>Spielbericht 28</vt:lpstr>
      <vt:lpstr>Aufgebot 29</vt:lpstr>
      <vt:lpstr>Anfrage 29</vt:lpstr>
      <vt:lpstr>Spielbericht 29</vt:lpstr>
      <vt:lpstr>Aufgebot 30</vt:lpstr>
      <vt:lpstr>Spielbericht 30</vt:lpstr>
      <vt:lpstr>Final 2024</vt:lpstr>
      <vt:lpstr>SB_Final 2004</vt:lpstr>
      <vt:lpstr>'Aufgebot 1'!Druckbereich</vt:lpstr>
      <vt:lpstr>'Aufgebot 10'!Druckbereich</vt:lpstr>
      <vt:lpstr>'Aufgebot 11'!Druckbereich</vt:lpstr>
      <vt:lpstr>'Aufgebot 12'!Druckbereich</vt:lpstr>
      <vt:lpstr>'Aufgebot 13'!Druckbereich</vt:lpstr>
      <vt:lpstr>'Aufgebot 14'!Druckbereich</vt:lpstr>
      <vt:lpstr>'Aufgebot 15'!Druckbereich</vt:lpstr>
      <vt:lpstr>'Aufgebot 16'!Druckbereich</vt:lpstr>
      <vt:lpstr>'Aufgebot 17'!Druckbereich</vt:lpstr>
      <vt:lpstr>'Aufgebot 18'!Druckbereich</vt:lpstr>
      <vt:lpstr>'Aufgebot 19'!Druckbereich</vt:lpstr>
      <vt:lpstr>'Aufgebot 2'!Druckbereich</vt:lpstr>
      <vt:lpstr>'Aufgebot 20'!Druckbereich</vt:lpstr>
      <vt:lpstr>'Aufgebot 21'!Druckbereich</vt:lpstr>
      <vt:lpstr>'Aufgebot 22'!Druckbereich</vt:lpstr>
      <vt:lpstr>'Aufgebot 23'!Druckbereich</vt:lpstr>
      <vt:lpstr>'Aufgebot 24'!Druckbereich</vt:lpstr>
      <vt:lpstr>'Aufgebot 25'!Druckbereich</vt:lpstr>
      <vt:lpstr>'Aufgebot 26'!Druckbereich</vt:lpstr>
      <vt:lpstr>'Aufgebot 27'!Druckbereich</vt:lpstr>
      <vt:lpstr>'Aufgebot 28'!Druckbereich</vt:lpstr>
      <vt:lpstr>'Aufgebot 29'!Druckbereich</vt:lpstr>
      <vt:lpstr>'Aufgebot 3'!Druckbereich</vt:lpstr>
      <vt:lpstr>'Aufgebot 30'!Druckbereich</vt:lpstr>
      <vt:lpstr>'Aufgebot 4'!Druckbereich</vt:lpstr>
      <vt:lpstr>'Aufgebot 5'!Druckbereich</vt:lpstr>
      <vt:lpstr>'Aufgebot 6'!Druckbereich</vt:lpstr>
      <vt:lpstr>'Aufgebot 7'!Druckbereich</vt:lpstr>
      <vt:lpstr>'Aufgebot 8'!Druckbereich</vt:lpstr>
      <vt:lpstr>'Aufgebot 9'!Druckbereich</vt:lpstr>
      <vt:lpstr>'Aufgebot A'!Druckbereich</vt:lpstr>
      <vt:lpstr>'Aufgebot B'!Druckbereich</vt:lpstr>
      <vt:lpstr>'Aufgebot C'!Druckbereich</vt:lpstr>
      <vt:lpstr>'Aufgebot D'!Druckbereich</vt:lpstr>
      <vt:lpstr>'Aufgebot E'!Druckbereich</vt:lpstr>
      <vt:lpstr>'Aufgebot F'!Druckbereich</vt:lpstr>
      <vt:lpstr>'CH Cup Tableau 2021 (2)'!Druckbereich</vt:lpstr>
      <vt:lpstr>'CH Cup Tableau 2025'!Druckbereich</vt:lpstr>
      <vt:lpstr>'Final 2024'!Druckbereich</vt:lpstr>
    </vt:vector>
  </TitlesOfParts>
  <Company>BURAUT VBS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Pabst Bruno KDOAB</dc:creator>
  <cp:lastModifiedBy>Bruno Pabst</cp:lastModifiedBy>
  <cp:lastPrinted>2025-08-28T20:57:47Z</cp:lastPrinted>
  <dcterms:created xsi:type="dcterms:W3CDTF">2007-12-05T15:01:04Z</dcterms:created>
  <dcterms:modified xsi:type="dcterms:W3CDTF">2025-08-28T21:27:05Z</dcterms:modified>
</cp:coreProperties>
</file>